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6000" tabRatio="500" activeTab="0"/>
  </bookViews>
  <sheets>
    <sheet name="Sheet2" sheetId="1" r:id="rId1"/>
  </sheets>
  <externalReferences>
    <externalReference r:id="rId4"/>
  </externalReferences>
  <definedNames>
    <definedName name="_xlnm._FilterDatabase" localSheetId="0" hidden="1">'Sheet2'!$A$1:$BO$301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<sst xmlns="http://schemas.openxmlformats.org/spreadsheetml/2006/main" count="2482" uniqueCount="417">
  <si>
    <t>CHRG_CODE</t>
  </si>
  <si>
    <t>PROTHROMBIN TIME</t>
  </si>
  <si>
    <t>BASIC METABOLIC PANEL (CHEM 7)</t>
  </si>
  <si>
    <t>AMMONIA</t>
  </si>
  <si>
    <t>LIPID REFLEX PANEL</t>
  </si>
  <si>
    <t>PROSTATE SPECIFIC ANTIGEN</t>
  </si>
  <si>
    <t>C-REACTIVE PROTEIN</t>
  </si>
  <si>
    <t>T4 BY RIA</t>
  </si>
  <si>
    <t>COMPREHENSV METABOLIC PNL(CH 12)</t>
  </si>
  <si>
    <t>BILIRUBIN, DIRECT</t>
  </si>
  <si>
    <t>PROTEIN ELECTRO,SERUM (EPS)</t>
  </si>
  <si>
    <t>SPECIFIC GRAVITY URINE (USPG)</t>
  </si>
  <si>
    <t>CYCLOSPORINE A-HPLC (CYCP)</t>
  </si>
  <si>
    <t>VITAMIN D-1-25</t>
  </si>
  <si>
    <t>11042</t>
  </si>
  <si>
    <t>11043</t>
  </si>
  <si>
    <t>CREATININE, SERUM</t>
  </si>
  <si>
    <t>IONIZED CALCIUM</t>
  </si>
  <si>
    <t>PHOSPHORUS, SERUM</t>
  </si>
  <si>
    <t>PROTEIN, TOTAL SERUM</t>
  </si>
  <si>
    <t>PROTEIN, TOTAL URINE</t>
  </si>
  <si>
    <t>UREA NITROGEN,SERUM</t>
  </si>
  <si>
    <t>URIC ACID, SERUM</t>
  </si>
  <si>
    <t>VALPROIC ACID (DEPAKANE)</t>
  </si>
  <si>
    <t>RENAL FUNCTION PANEL</t>
  </si>
  <si>
    <t>RHEUMATOID FACTOR</t>
  </si>
  <si>
    <t>ANA SCREEN</t>
  </si>
  <si>
    <t>CORTISOL TOTAL</t>
  </si>
  <si>
    <t>GROWTH HORMONE</t>
  </si>
  <si>
    <t>IMMUNOFIXATION SERUM</t>
  </si>
  <si>
    <t>TESTOSTERONE, TOTAL</t>
  </si>
  <si>
    <t>VITAMIN B-12</t>
  </si>
  <si>
    <t>FOLATE, SERUM</t>
  </si>
  <si>
    <t>MICOSOMAL ANTIBODY</t>
  </si>
  <si>
    <t>ESTRADIO, EXTRACTION</t>
  </si>
  <si>
    <t>LUPUS 12 PANEL</t>
  </si>
  <si>
    <t>NEURONAL NECLEAR AB</t>
  </si>
  <si>
    <t>VIT B, PLASMA (THIAMINE)</t>
  </si>
  <si>
    <t>PTH INTACT WITH CALCIUM</t>
  </si>
  <si>
    <t>ANTI GLIADIN AB PANEL</t>
  </si>
  <si>
    <t>MICROALB/CREAT RATIO</t>
  </si>
  <si>
    <t>QUANTIFERON-TB GOLD</t>
  </si>
  <si>
    <t>15271</t>
  </si>
  <si>
    <t>GROUP PSYCHOTHERAPY</t>
  </si>
  <si>
    <t>NERVE CONDUCTION STUDY 5-6</t>
  </si>
  <si>
    <t>NERVE CONDUCTION STUDY 7-8</t>
  </si>
  <si>
    <t>NERVE CONDUCTION STUDY 9-10</t>
  </si>
  <si>
    <t>VISUAL FIELD EXAM -EXTENDED</t>
  </si>
  <si>
    <t>MEASLES AB IGG</t>
  </si>
  <si>
    <t>REMOVAL OF SUPPORT IMPLANT</t>
  </si>
  <si>
    <t>COLONOSCOPY AND BIOPSY</t>
  </si>
  <si>
    <t>CARPAL TUNNEL SURGERY</t>
  </si>
  <si>
    <t>55866</t>
  </si>
  <si>
    <t>Medicare Reimbursement</t>
  </si>
  <si>
    <t>Medi-Cal Reimbursement</t>
  </si>
  <si>
    <t>Aetna Senior</t>
  </si>
  <si>
    <t>Aetna Commercial</t>
  </si>
  <si>
    <t>Affiliated Health Funds</t>
  </si>
  <si>
    <t>Anthem Blue Cross (Senior)</t>
  </si>
  <si>
    <t>Anthem Blue Cross (Commercial)</t>
  </si>
  <si>
    <t>Blue Shield (Commercial)</t>
  </si>
  <si>
    <t>Caremore (Senior)</t>
  </si>
  <si>
    <t>Central Health Plan</t>
  </si>
  <si>
    <t>Cigna (Commercial)</t>
  </si>
  <si>
    <t>Galaxy Provider Network</t>
  </si>
  <si>
    <t>Healthnet (Commercial)</t>
  </si>
  <si>
    <t>Healthnet (Senior)</t>
  </si>
  <si>
    <t>Healthnet Federal Services</t>
  </si>
  <si>
    <t>Heritage Provider Network (Commercial)</t>
  </si>
  <si>
    <t>Heritage Provider Network (Senior)</t>
  </si>
  <si>
    <t>Heritage Provider Network (Medi-Cal)</t>
  </si>
  <si>
    <t>Humana</t>
  </si>
  <si>
    <t>Humana Choice Care</t>
  </si>
  <si>
    <t>IEHP (Medi-Cal)</t>
  </si>
  <si>
    <t>IEHP (Senior)</t>
  </si>
  <si>
    <t>Kaiser (Commercial)</t>
  </si>
  <si>
    <t>Kaiser (Senior)</t>
  </si>
  <si>
    <t>St. Joseph Health (Senior)</t>
  </si>
  <si>
    <t>St. Joseph Health (Commercial)</t>
  </si>
  <si>
    <t>United Healthcare (Senior)</t>
  </si>
  <si>
    <t>United Healthcare (Commercial)</t>
  </si>
  <si>
    <t>Universal Care, Inc. dba Brand New Day</t>
  </si>
  <si>
    <t>Kaiser (Medi-Cal)</t>
  </si>
  <si>
    <t>N/A</t>
  </si>
  <si>
    <t>Dignity Health (Senior/Cal Mediconnect)</t>
  </si>
  <si>
    <t>Dignity Health (Commercial)</t>
  </si>
  <si>
    <t>Redlands Community Hospital</t>
  </si>
  <si>
    <t>Alpha Care Medical Group (Commercial)</t>
  </si>
  <si>
    <t>SHOPPABLE SERVICE</t>
  </si>
  <si>
    <t>OUTPATIENT THERAPY</t>
  </si>
  <si>
    <t>Cash Price</t>
  </si>
  <si>
    <t>PRIMARY SERVICE AND ANCILLARY SERVICES</t>
  </si>
  <si>
    <t>SPINAL INJECTION DIAGNOSTIC</t>
  </si>
  <si>
    <t>Average Length of Stay</t>
  </si>
  <si>
    <t>SPINAL FUSION EXCEPT CERVICAL</t>
  </si>
  <si>
    <t>PULMONARY EDEMA &amp; REPIRATORY FAILURE</t>
  </si>
  <si>
    <t>INJECTION DESTRUCTION BY NEUROLYTIC AGENT, OTHER</t>
  </si>
  <si>
    <t>REMOVAL OF SPINAL LAMINA</t>
  </si>
  <si>
    <t>DILATE ESOPHAGUS</t>
  </si>
  <si>
    <t>TOTAL KNEE REPLACEMENT</t>
  </si>
  <si>
    <t>TREATMENT OF SPEECH,LANGUAGE,VOICE, COMMUNICATION AND/OR AUDITORY PROCESSING</t>
  </si>
  <si>
    <t xml:space="preserve"> SPEECH/HEARING THERAPY</t>
  </si>
  <si>
    <t>INJECTION FOR NERVE BLOCK</t>
  </si>
  <si>
    <t>SIGMOIDOSCOPY, DIAGNOSTIC</t>
  </si>
  <si>
    <t xml:space="preserve">BONE BIOPSY, EXCISIONAL </t>
  </si>
  <si>
    <t>Networks by Design (Workers' Comp)</t>
  </si>
  <si>
    <t>Alpha Care Medical Group (Senior, Medi-Medi, Medi-Cal)</t>
  </si>
  <si>
    <t>UNNA BOOT 4 LAYERS</t>
  </si>
  <si>
    <t>Multiplan (Workers' Comp)</t>
  </si>
  <si>
    <t>Three Rivers Provider Network (Workers' Comp)</t>
  </si>
  <si>
    <t>Focus Healthcare Network (Workers' Comp)</t>
  </si>
  <si>
    <t>130 Per Visit</t>
  </si>
  <si>
    <t>155 Per Visit</t>
  </si>
  <si>
    <t>Per 15 minutes</t>
  </si>
  <si>
    <t>Per 60 minutes</t>
  </si>
  <si>
    <t xml:space="preserve">Per Visit </t>
  </si>
  <si>
    <t>Non-Covered Benefit</t>
  </si>
  <si>
    <t>115 Per Visit</t>
  </si>
  <si>
    <t>118 Per Visit</t>
  </si>
  <si>
    <t>137 Per Visit</t>
  </si>
  <si>
    <t>AMPUTATION, BELOW OR ABOVE KNEE</t>
  </si>
  <si>
    <t>ACUTE REHAB</t>
  </si>
  <si>
    <t>Epic (Senior and Commercial)</t>
  </si>
  <si>
    <t>178 Per Visit</t>
  </si>
  <si>
    <t>140 Per Visit</t>
  </si>
  <si>
    <t>135 Per Visit</t>
  </si>
  <si>
    <t>150 Per Visit</t>
  </si>
  <si>
    <t>Stratose (Workers' Comp)</t>
  </si>
  <si>
    <t>HERNIA REPAIR, INGUINAL, 5+ YEARS OLD</t>
  </si>
  <si>
    <t>PROSTATE REMOVAL, LAPAROSCOPIC, RADICAL</t>
  </si>
  <si>
    <t>EKG 12 LEAD INCLUDING INTERPRETATION AND REPORT</t>
  </si>
  <si>
    <t>UTERINE AND ADNEXA PROCEDURE, NON-MALIGNANT</t>
  </si>
  <si>
    <t>SPINAL FUSION, CERVICAL</t>
  </si>
  <si>
    <t>KNEE OR HIP JOINT REPLACEMENT</t>
  </si>
  <si>
    <t>BACK AND NECK PROCEDURE EXCEPT  SPINAL FUSION</t>
  </si>
  <si>
    <t>HEART FAILURE &amp; SHOCK</t>
  </si>
  <si>
    <t>SEPTICEMIA OR SEVERE SEPSIS WITHOUT MECHANICAL VENTILATION &gt;96 HOURS</t>
  </si>
  <si>
    <t>BACK AND NECK PROCEDURE EXCLUDING SPINAL FUSION WITHOUT COMORBIDITIES</t>
  </si>
  <si>
    <t>FUSION, CERVICAL SPINAL WITH COMORBIDITIES</t>
  </si>
  <si>
    <t>INFECTIOUS &amp; PARASITIC DISEASES WITH A PROCEDURE</t>
  </si>
  <si>
    <t>MAJOR HIP AND KNEE JOINT REPLACEMENT</t>
  </si>
  <si>
    <t xml:space="preserve">CIRRHOSIS &amp; ALCOHOLIC HEPATITIS </t>
  </si>
  <si>
    <t>MAJOR SMALL OR LARGE BOWEL PROCEDURES</t>
  </si>
  <si>
    <t>RESPIRATORY INFECTIONS &amp; INFLAMMATIONS</t>
  </si>
  <si>
    <t>RENAL FAILURE</t>
  </si>
  <si>
    <t>ESOPHAGITIS, GASTROENTERITIS AND MISCELLANEOUS DIGESTIVE DISORDERS</t>
  </si>
  <si>
    <t>INTRACRANIAL HEMORRHAGE OR CEREBRAL INFARCTION WITH COMPLICATION OR COMORBIDITY OR TPA IN 24 HOURS</t>
  </si>
  <si>
    <t>MAJOR SMALL AND LARGE BOWEL PROCEDURES WITHOUT COMLICATION OR MAJOR COMORBIDITY</t>
  </si>
  <si>
    <t xml:space="preserve">SEPTICEMIA OR SEVERE SEPSIS WITHOUT MECHANICAL VVENTILATION &gt;96 HOURS WITHOUT MAJOR COMPLICATION OR COMORBIDITY </t>
  </si>
  <si>
    <t>DIABETES WITH COMPLICATION OR COMORBIDITIES</t>
  </si>
  <si>
    <t xml:space="preserve">SEPTICEMIA OR SEVERE SEPSIS WITH  MECHANICAL VENTILATION &gt;96 HOURS </t>
  </si>
  <si>
    <t>MAJOR SMALL AND LARGE BOWEL PROCEDURES W MAJOR COMORBIDITIES</t>
  </si>
  <si>
    <t>RENAL FAILURE WITH COMPLICATION OR COMORBIDITY</t>
  </si>
  <si>
    <t>GASTORINTESTINAL  OBSTRUCTION WITH COMPLICATION OR COMORBIDITY</t>
  </si>
  <si>
    <t xml:space="preserve"> GASTROINTESTINAL  ENDOSCOPY, UPPER WITH BIOPSY</t>
  </si>
  <si>
    <t>COLONOSCOPY, DIAGNOSTIC</t>
  </si>
  <si>
    <t>COLONOSCOPY WITH LESION REMOVAL</t>
  </si>
  <si>
    <t>KNEE JOINT FIXATION</t>
  </si>
  <si>
    <t>UPPER GASTROINTESTINAL ENDOSCOPY,UPPER,  DIAGNOSTIC</t>
  </si>
  <si>
    <t>HAMMERTOE REPAIR</t>
  </si>
  <si>
    <t>DISK SURGERY, LOW BACK</t>
  </si>
  <si>
    <t>CHOLECYSTECTOMY (GALL BLADDER REMOVAL), LAPAROSCOPIC</t>
  </si>
  <si>
    <t xml:space="preserve"> NEURORECEIVER IMPLANT</t>
  </si>
  <si>
    <t>MASTECTOMY,  PARTIAL</t>
  </si>
  <si>
    <t>SIGMOIDOSCOPY WITH BIOPSY</t>
  </si>
  <si>
    <t>COLONSCOPY WITH SUBMUCOUS INJECTION</t>
  </si>
  <si>
    <t xml:space="preserve"> BUNION CORRECTION PROCEDURE</t>
  </si>
  <si>
    <t>FRACTURES METATARSAL REPAIR</t>
  </si>
  <si>
    <t>NEUROELECTRODE IMPLANT</t>
  </si>
  <si>
    <t xml:space="preserve">KNEE ARTHROSCOPY </t>
  </si>
  <si>
    <t>NEURORECEIVER IMPLANT</t>
  </si>
  <si>
    <t xml:space="preserve">COMPLEX NEUROSTIMULATOR ANALYZER </t>
  </si>
  <si>
    <t>VERTEBRAL AUGMENTATION OF LUMBAR, PERCUTANEOUS</t>
  </si>
  <si>
    <t>ANKLE LIGAMENT REPAIR</t>
  </si>
  <si>
    <t>GASTROSTOMY TUBE INSERTION PROCEDURE</t>
  </si>
  <si>
    <t xml:space="preserve"> ENDOSCOPY, UPPER, OPERATIVE</t>
  </si>
  <si>
    <t xml:space="preserve">HERNIA REPAIR,  UMBILICAL </t>
  </si>
  <si>
    <t>HERNIA REPAIR, INGUINAL, RECURRENT, LAPAROSCOPIC</t>
  </si>
  <si>
    <t>BLOOD DRAW</t>
  </si>
  <si>
    <t>PHYSICAL THERAPY EVALUATION MODERATE COMPLEXITY</t>
  </si>
  <si>
    <t>PHYSICAL THERAPY EVALUATION LOWCOMPLEXITY</t>
  </si>
  <si>
    <t>PHYSICAL THERAPY EVALUATION,  HIGH COMPLEX</t>
  </si>
  <si>
    <t xml:space="preserve"> HEMOGRAM. AUTOMATED</t>
  </si>
  <si>
    <t>OCCUPATIONAL THERAPY EVALUATION MODERATE COMPLEXITY</t>
  </si>
  <si>
    <t>COMPRESSION WRAPPING, MULTILAYER APPLICATION</t>
  </si>
  <si>
    <t xml:space="preserve">EVALUATION OF SPEECH SOUND PRODUCTION WITH EVALUATION OF LANGUAGE COMPREHENSION AND EXPRESSION </t>
  </si>
  <si>
    <t>OCCUPATIONAL THERAPY  EVALUATION,  HIGH COMPLEXITY</t>
  </si>
  <si>
    <t xml:space="preserve"> HEMOGLOBIN TEST, GLYCATED</t>
  </si>
  <si>
    <t>PHYSICAL THERAPY  RE-EVALUATION ESTABLISHED CARE PLAN</t>
  </si>
  <si>
    <t>VITAMIN D ASSAY</t>
  </si>
  <si>
    <t>PHYSICAL THERAPY ASSISTIVE TECH ASSESSMENT</t>
  </si>
  <si>
    <t>ESR, ERYTHROCYTE SEDIMENTATION RATE</t>
  </si>
  <si>
    <t xml:space="preserve">PROLACTIN </t>
  </si>
  <si>
    <t>DEBRIDEMENT SUBCUTANEOUS TISSUE</t>
  </si>
  <si>
    <t>CREATININE, URINE</t>
  </si>
  <si>
    <t xml:space="preserve"> ELECTROMYOGRAPHY, LIMITED</t>
  </si>
  <si>
    <t>PREALBUMIN</t>
  </si>
  <si>
    <t>DEBRIDEMENT SUBCUTANEOUS TISSUE/MUSCLE</t>
  </si>
  <si>
    <t>SENSITIVITY</t>
  </si>
  <si>
    <t>ORAL &amp; PHARYNGEAL SWALLOWING FUNCTUNCTION EVALUATION</t>
  </si>
  <si>
    <t>FERRITIN</t>
  </si>
  <si>
    <t>FIT SPEECH  DEVICE/AAC, THERAPEUTIC USE</t>
  </si>
  <si>
    <t>CARDIOVASCULAR  STRESS TEST, MULTIPLE LEAD</t>
  </si>
  <si>
    <t>CREATINE KINASE</t>
  </si>
  <si>
    <t>EKG WITHOUT INTERPRETATION</t>
  </si>
  <si>
    <t>BLOOD CULTURE</t>
  </si>
  <si>
    <t>SPEECH DEVICE/AAC EVALUATION - 1ST HR</t>
  </si>
  <si>
    <t>SLIVER (HEPATIC) PANEL</t>
  </si>
  <si>
    <t>URINALYSIS MICROBIOLOGY</t>
  </si>
  <si>
    <t>BRAIN INJURY, NON-TRAUMATIC, TIER 3, ACUTE INPATIENT REHABILITATION</t>
  </si>
  <si>
    <t>BRAIN INJURY, NON-TRAUMATIC, TIER 2, ACUTE INPATIENT REHABILITATION</t>
  </si>
  <si>
    <t xml:space="preserve">BRAIN INJURY, NON-TRAUMATIC, WITHOUT COMORBIDITIES, ACUTE INPATIENT REHABILITATION </t>
  </si>
  <si>
    <t>BRAINI INJURY, TRAUMATIC, TIER 3, ACUTE INPATIENT REHABILITATION</t>
  </si>
  <si>
    <t>CARDIAC ACUTE INPATIENT REHABILITATION</t>
  </si>
  <si>
    <t>CHRONIC OBSTRUCTIVE PULMONARY DISEASE, ACUTE INPATIENT REHABILITATOIN</t>
  </si>
  <si>
    <t>KNEE OR HIP REPLACEMENT, TIER 3, ACUTE INPATIENT REHABILITATION</t>
  </si>
  <si>
    <t>KNEE OR HIP REPLACEMENT, WITHOUT COMORBIDITIES, ACUTE INPATIENT REHABILITATION</t>
  </si>
  <si>
    <t>NEUROLOGIC DISEASE OR DYSFUNCTION, TIER 2, ACUTE INPATIENT REHABILITATION</t>
  </si>
  <si>
    <t>NEUROLOGIC DISEASE OR DYSFUNCTION, WITHOUT COMORBIDITIES, ACUTE INPATIENT REHABILITATION</t>
  </si>
  <si>
    <t>ORTHOPEDIC, OTHER ACUTE INPATIENT REHABILITATION</t>
  </si>
  <si>
    <t>OTHER IMPAIRMENTS, WITHOUT COMORBIDITIES ACUTE INPATIENT REHABILITATION</t>
  </si>
  <si>
    <t>SPINAL CORD DYSFUNCTION, ACUTE INPATIENT REHABILITATION</t>
  </si>
  <si>
    <t>SPINAL CORD INJURY, TRAUMATIC, INCOMPLETE, ACUTE INPATIENT REHABILITATION</t>
  </si>
  <si>
    <t>STROKE, TIER 3, ACUTE INPATIENT REHABILITATION</t>
  </si>
  <si>
    <t>STROKE WITHOUT COMORBIDITIES, ACUTE INPATIENT REHABILITATION</t>
  </si>
  <si>
    <t>CorVel (Workers' Comp)</t>
  </si>
  <si>
    <t>HERNIA REPAIR, INGUINAL, 5+ YEARS OLD, INITIAL,  LAPAROSCOPIC</t>
  </si>
  <si>
    <t>NEW OUPATIENT VISIT 30-44 MINUTES</t>
  </si>
  <si>
    <t>NEW OUPATIENT VISIT 45- 59 MINUTES</t>
  </si>
  <si>
    <t>NEW OUTPATIENT VISIT 60-74 MINUTES</t>
  </si>
  <si>
    <t>MOTION FLUOROSCOPIC EVALUATION OF SWALLOWING FUNCTION</t>
  </si>
  <si>
    <t>THERAPUTIC OR DIAGNOSTIC INJECTION, PROPHYLACTIC</t>
  </si>
  <si>
    <t xml:space="preserve">BILATERAL NON-INVASIVE PHYSIOLOGICAL STUDY OF UPPER OR LOWER EXTREMETY ARTERIES </t>
  </si>
  <si>
    <t>DEBRIDEMENT FIBRIN, EPIDERMIS,EXUDATE, BIOFILMJ</t>
  </si>
  <si>
    <t>SHOULDER JOINT REPLACEMENT</t>
  </si>
  <si>
    <t>PHYSICAL THERAPY-THERAPEUTIC EXERCISE, 15 MIN</t>
  </si>
  <si>
    <t>PHYSICAL THERAPY-NEUROMUSCULAR RE-EDUCATION - 15 MIN</t>
  </si>
  <si>
    <t>PHYSICAL THERAPY-MANUAL THERAPY - 15 MIN</t>
  </si>
  <si>
    <t>PHYSICAL THERAPY-THERAPEUTIC ACTIVITIES, 15 MIN</t>
  </si>
  <si>
    <t>PHYSICAL THERAPY-GAIT TRAINING 15 MIN</t>
  </si>
  <si>
    <t>PHYSICAL THERAPY-FLUIDIOSCOPY/WHIRLPOOL THERAPY</t>
  </si>
  <si>
    <t>PHYSICAL THERAPY-SELF CARE/HOME MANAGMENT 15 MIN</t>
  </si>
  <si>
    <t>PHYSICAL THERAPY-THERAPY PROCEDURE GROUP</t>
  </si>
  <si>
    <t xml:space="preserve"> ORAL FUNCTION SPEECH THERAPY</t>
  </si>
  <si>
    <t xml:space="preserve"> PHYSICAL THERAPY-ULTRASOUND THERAPY</t>
  </si>
  <si>
    <t xml:space="preserve"> PHYSICAL THERAPY-PARAFFIN BATH THERAPY</t>
  </si>
  <si>
    <t>PHYSICAL THERAPY-WHEELCHAIR MANAGMENT 15 MIN</t>
  </si>
  <si>
    <t>#</t>
  </si>
  <si>
    <t>MISC DISORDERS OF NUTRITION, METABOLISM, FLUIDS/ELECTROLYTES W MCC</t>
  </si>
  <si>
    <t>KIDNEY &amp; URINARY TRACT INFECTIONS W/O MCC</t>
  </si>
  <si>
    <t>G.I. HEMORRHAGE W CC</t>
  </si>
  <si>
    <t>NONSPECIFIC CEREBROVASCULAR DISORDERS W MCC</t>
  </si>
  <si>
    <t>DISORDERS OF PANCREAS EXCEPT MALIGNANCY W MCC</t>
  </si>
  <si>
    <t>CELLULITIS W/O MCC</t>
  </si>
  <si>
    <t>CRANIOTOMY &amp; ENDOVASCULAR INTRACRANIAL PROCEDURES W MCC</t>
  </si>
  <si>
    <t>CRANIOTOMY &amp; ENDOVASCULAR INTRACRANIAL PROCEDURES W/O CC/MCC</t>
  </si>
  <si>
    <t>ACUTE MYOCARDIAL INFARCTION, DISCHARGED ALIVE W MCC</t>
  </si>
  <si>
    <t>CHOLECYSTECTOMY EXCEPT BY LAPAROSCOPE W/O C.D.E. W CC</t>
  </si>
  <si>
    <t>TRACH W MV &gt;96 HRS OR PDX EXC FACE, MOUTH &amp; NECK W/O MAJ O.R.</t>
  </si>
  <si>
    <t>COMBINED ANTERIOR/POSTERIOR SPINAL FUSION W/O CC/MCC</t>
  </si>
  <si>
    <t>G.I. HEMORRHAGE W MCC</t>
  </si>
  <si>
    <t>SEIZURES W MCC</t>
  </si>
  <si>
    <t>KIDNEY &amp; URINARY TRACT INFECTIONS W MCC</t>
  </si>
  <si>
    <t>SIMPLE PNEUMONIA &amp; PLEURISY W CC</t>
  </si>
  <si>
    <t>MEDICAL BACK PROBLEMS W/O MCC</t>
  </si>
  <si>
    <t>RED BLOOD CELL DISORDERS W/O MCC</t>
  </si>
  <si>
    <t>COMBINED ANTERIOR/POSTERIOR SPINAL FUSION W MCC</t>
  </si>
  <si>
    <t>RESPIRATORY SYSTEM DIAGNOSIS W VENTILATOR SUPPORT &lt;=96 HOURS</t>
  </si>
  <si>
    <t>MAJOR GASTROINTESTINAL DISORDERS &amp; PERITONEAL INFECTIONS W MCC</t>
  </si>
  <si>
    <t>DISORDERS OF PANCREAS EXCEPT MALIGNANCY W CC</t>
  </si>
  <si>
    <t>NONSPECIFIC CEREBROVASCULAR DISORDERS W CC</t>
  </si>
  <si>
    <t>SEIZURES W/O MCC</t>
  </si>
  <si>
    <t>SYNCOPE &amp; COLLAPSE</t>
  </si>
  <si>
    <t>SIMPLE PNEUMONIA OR PLEURISY WITH MAJOR COMPLICATION OR COMORBIDITY</t>
  </si>
  <si>
    <t>AMPUTATION FOR CIRC SYS DISORDERS EXCLUDING  UPPER LIMB &amp; TOE W MCC</t>
  </si>
  <si>
    <t>AMPUTATION OF LOWER LIMB FOR ENDOCRINE, NUTRITION, &amp; METABOLIC DISORDERS W CC</t>
  </si>
  <si>
    <t>NECK SPINE FUSION AND REMOVAL BELOW CERVICAL VERTEBRA 3</t>
  </si>
  <si>
    <t>SKIN SUBSTITUTE;TRUNK,ARM,LEG 1ST 25CM</t>
  </si>
  <si>
    <t>BRAIN INJURY, TRAUMATIC, TIER 2,  ACUTE INPATIENT REHABILITATION</t>
  </si>
  <si>
    <t>BRAIN INJURY, TRAUMATIC, WITHOUT COMORBIDITIES, ACUTE INPATIENT REHABILITATION</t>
  </si>
  <si>
    <t>OTHER IMPAIRMENTS, ACUTE INPATIENT  REHABILITATION, TIER 1</t>
  </si>
  <si>
    <t>PHYSICAL THERAPY-AQUATIC THERAPY EXERCISES</t>
  </si>
  <si>
    <t>Not Separately Reimbursable</t>
  </si>
  <si>
    <t>Blue Shield (Senior)</t>
  </si>
  <si>
    <t>De-identified minimum negotiated charge</t>
  </si>
  <si>
    <t>De-identified maximum negotiated charge</t>
  </si>
  <si>
    <t>HIP OR PELVIC FRACTURE, ACUTE INPATIENT REHABILITATION</t>
  </si>
  <si>
    <t>PHYSICAL THERAPY - ELECTRIC CURRENT THERAPY</t>
  </si>
  <si>
    <t>PHYSICAL THERAPY - ELECTRICAL STIMULATION , ATTENDED - 15 MIN</t>
  </si>
  <si>
    <t>PHYSICAL THERAPY - TRACTION, MECHANICAL</t>
  </si>
  <si>
    <t>PSYCHOTHERAPY, 30 min</t>
  </si>
  <si>
    <t>PSYCHOTHERAPY, 45 min</t>
  </si>
  <si>
    <t>PSYCHOTHERAPY, 60 min</t>
  </si>
  <si>
    <t>PATIENT OFFICE CONSULTATION, TYPICALLY 40 MIN</t>
  </si>
  <si>
    <t>PATIENT OFFICE CONSULTATION, TYPICALLY 60 MIN</t>
  </si>
  <si>
    <t>FAMILY PSYCHOTHERAPY, INCLUDING PATIENT, 50 MIN</t>
  </si>
  <si>
    <t>FAMILY PSYCHOTHERAPY, NOT INCLUDING PATIENT, 50 MIN</t>
  </si>
  <si>
    <t>INITIAL NEW PATIENT PREVENTIVE MEDICINE EVALUATION (18-39 YEARS)</t>
  </si>
  <si>
    <t>INITIAL NEW PATIENT PREVENTIVE MEDICINE EVALUATION (40-64 YEARS)</t>
  </si>
  <si>
    <t>OBSTETRIC BLOOD TEST PANEL</t>
  </si>
  <si>
    <t>CT SCAN, HEAD OR BRAIN, WITHOUT CONTRAST</t>
  </si>
  <si>
    <t>MRI SCAN OF BRAIN BEFORE AND AFTER CONTRAST</t>
  </si>
  <si>
    <t>X-RAY, LOWER BACK, MINIMUM FOUR VIEWS</t>
  </si>
  <si>
    <t>MRI SCAN OF LOWER SPINAL CANAL</t>
  </si>
  <si>
    <t>CT SCAN, PELVIS, WITH CONTRAST</t>
  </si>
  <si>
    <t>MRI SCAN OFLEG JOINT</t>
  </si>
  <si>
    <t>CT SCAN OF ABDOMEN AND PELVIS WITH CONTRAST</t>
  </si>
  <si>
    <t>ULTRASOUND OF ABDOMEN</t>
  </si>
  <si>
    <t>ABDOMINAL ULTRASOUND OF PREGNANT UTERUS (GREATER OR EQUAL TO 14 WEEKS 0 DAYS) SINGLE OR FIRST FETUS</t>
  </si>
  <si>
    <t>ULTRASOUND PELVIS THROUGH VAGINA</t>
  </si>
  <si>
    <t>MAMMOGRAPHY OF ONE BREAST</t>
  </si>
  <si>
    <t>MAMMOGRAPHY OF BOTH BREASTS</t>
  </si>
  <si>
    <t>MAMMOGRAPHY, SCREENING, BILATERAL</t>
  </si>
  <si>
    <t>CARDIAC VALVE AND OTHER MAJOR CARDIOTHORACIC PROCEDURES WITH CARDIAC CATHETERIZATION WITH MAJOR COMPLICATIONS OR CORMORBIDITIES</t>
  </si>
  <si>
    <t>REMOVAL OF TONSILS AND ADENOID GLANDS PATIENT YOUNGER THAN AGE 12</t>
  </si>
  <si>
    <t>ULTRASOUND EXAMINATION OF LOWER LARGE BOWEL USING AN ENDOSCOPE</t>
  </si>
  <si>
    <t>BIOPSY OF PROSTATE GLAND</t>
  </si>
  <si>
    <t>SLEEP STUDY</t>
  </si>
  <si>
    <t>INSERTION OF CATHETER INTO LEFT HEART DIAGNOSIS</t>
  </si>
  <si>
    <t>REMOVAL OF CATARACT WITH INSERTION OF LENS</t>
  </si>
  <si>
    <t>REMOVAL OF RECURRING CATARACT IN LENS CAPSULE USING LASER</t>
  </si>
  <si>
    <t>INJECTIONS OF ANESTHETIC AND/OR STEROID DRUG INTO LOWER OR SACRAL SPINE NERVE ROOT USING IMAGING GUIDANCE</t>
  </si>
  <si>
    <t>ROUTINE OBSTETRIC CARE FOR VAGINAL DELIVERY, INCLUDING PRE- AND POST - DELIVERY CARE</t>
  </si>
  <si>
    <t>ROUTINE OBSTETRIC CARE FOR CESAREAN DELIVERY, INCLUDING PRE- AND POST DELIVERY CARE</t>
  </si>
  <si>
    <t>ROUTINE OBSTETRIC CARE FOR VAGINAL DELIVERY AFTER PRIOR CESAREAN DELIVERY INCLUDING PRE- AND POST - DELIVERY CARE</t>
  </si>
  <si>
    <t>INJECTION OF SUBSTANCE INTO SPINAL CANAL OF LOWER BACK OR SACRUM USING IMAGING GUIDANCE</t>
  </si>
  <si>
    <t>ARTHROSCOPY,SHOULDER,SURGICAL</t>
  </si>
  <si>
    <t>REMOVAL OF 1 OR MORE BREAST GROWTH, OPEN PROCEDURE</t>
  </si>
  <si>
    <t>PROSTATE SPECIFIC ANTIGEN (PSA)</t>
  </si>
  <si>
    <t>OCCUPATIONAL THERAPY - CONTRAST BATH - 15 MIN</t>
  </si>
  <si>
    <t>PHYSICAL THERAPY - CONTRAST BATH - 15 MIN</t>
  </si>
  <si>
    <t>PHYSICAL THERAPY - FCE-FUNCTIONAL CAPACITY EVAL 1 DAY</t>
  </si>
  <si>
    <t>PHYSICAL THERAPY - ORTHOTIC FITTING, INITIAL</t>
  </si>
  <si>
    <t>PHYSICAL THERAPY - ORTHOTIC/PROSTHETIC MANAGEMENT AND/OR TRAINING</t>
  </si>
  <si>
    <t>PHYSICAL THERAPY - BIOFEEDBACK TRAINING</t>
  </si>
  <si>
    <t>PHYSICAL THERAPY RE-EVAL EST PLAN CARE</t>
  </si>
  <si>
    <t>NEGATIVE PRESS WOUND THERAPY, DME,&lt;</t>
  </si>
  <si>
    <t>VOLUME MANAGEMENT URINE</t>
  </si>
  <si>
    <t>LIPASE</t>
  </si>
  <si>
    <t>LUTEINIZING HORMONE (LH)</t>
  </si>
  <si>
    <t xml:space="preserve">LACTIC ACID </t>
  </si>
  <si>
    <t>LACTIC DEHYDROGENASE (LDH), BLOOD; KINETIC ULTRAVIOLET METHOD</t>
  </si>
  <si>
    <t>GONADOTROPIN (FSH)</t>
  </si>
  <si>
    <t>NATRIURETIC PEPTIDE</t>
  </si>
  <si>
    <t>ASSAY OF SOMATOMEDIN</t>
  </si>
  <si>
    <t>URINE CULTURE/COLONY COUNT</t>
  </si>
  <si>
    <t>CULTURE AEROBIC IDENTIFY</t>
  </si>
  <si>
    <t>THROMBOPLASTIN TIME PARTIAL</t>
  </si>
  <si>
    <t>ASSAY OF IRON</t>
  </si>
  <si>
    <t>CULTURE SCREEN ONLY</t>
  </si>
  <si>
    <t>C-REACTIVE PROTEIN HS</t>
  </si>
  <si>
    <t>FREE ASSAY (FT-3)</t>
  </si>
  <si>
    <t>ASSAY OF SERUM ALBUMIN</t>
  </si>
  <si>
    <t>ASSAY TRIIODOTHYRONINE (T3)</t>
  </si>
  <si>
    <t>RBC ANTIBODY SCREEN</t>
  </si>
  <si>
    <t>BLOOD TYPING ABO</t>
  </si>
  <si>
    <t>BLOOD TYPING RH (D)</t>
  </si>
  <si>
    <t>URINALYSIS AUTO W/O SCOPE</t>
  </si>
  <si>
    <t>ASSAY THYROID STIM HORMONE</t>
  </si>
  <si>
    <t>COMPLETE CBC AUTOMATED</t>
  </si>
  <si>
    <t>BIOFEEDBACK, 1ST 15 MINUTES</t>
  </si>
  <si>
    <t>Coventry  (Workers' Comp)</t>
  </si>
  <si>
    <t>Premiercare IPA</t>
  </si>
  <si>
    <t>156 Per Visit</t>
  </si>
  <si>
    <t>44.86 Per Visit</t>
  </si>
  <si>
    <t>118 per visit</t>
  </si>
  <si>
    <t>41.44 Per Visit</t>
  </si>
  <si>
    <t>54.88 Per Visit</t>
  </si>
  <si>
    <t>RADIOLOGY</t>
  </si>
  <si>
    <t>PRIMARY OUTPATIENT SERVICE</t>
  </si>
  <si>
    <t>EVALUATION &amp; MANAGEMENT SERVICE</t>
  </si>
  <si>
    <t>LABORATORY &amp; PATHOLOGY SERVICE</t>
  </si>
  <si>
    <t>PRIMARY INPATIENT MEDICINE AND SURGERY SERVICE</t>
  </si>
  <si>
    <t>PRIMARY INPATIENT MEDICINE AND SURGERY SERVICE WITH IMPLANT</t>
  </si>
  <si>
    <t>PRIMARY OUTPATIENT MEDICINE AND SURGERY SERVICE</t>
  </si>
  <si>
    <t>PRIMARY OUTPATIENT MEDICINE AND SURGERY SERVICE WITH IMPLANT</t>
  </si>
  <si>
    <t>CPT/HCPCS/DRG code</t>
  </si>
  <si>
    <t>Revenue Code</t>
  </si>
  <si>
    <t>Multiple</t>
  </si>
  <si>
    <t>Service not provided</t>
  </si>
  <si>
    <t>Medicare Payment Methodology</t>
  </si>
  <si>
    <t>IRF PPS</t>
  </si>
  <si>
    <t>IPPS</t>
  </si>
  <si>
    <t>OPPS</t>
  </si>
  <si>
    <t>Implant Charge</t>
  </si>
  <si>
    <t>Gross Charge including implant</t>
  </si>
  <si>
    <t>Per Unit</t>
  </si>
  <si>
    <t>Wellcare (formerly Easy Choice)</t>
  </si>
  <si>
    <t>192 Per Visit</t>
  </si>
  <si>
    <t>162 Per Visit</t>
  </si>
  <si>
    <t>Prospect Medical Group</t>
  </si>
  <si>
    <t>152 Per Visit</t>
  </si>
  <si>
    <t>172 Per Visit</t>
  </si>
  <si>
    <t>510295810L</t>
  </si>
  <si>
    <t>510295800L</t>
  </si>
  <si>
    <t>616737211L</t>
  </si>
  <si>
    <t>Optum/Primecare Medical Network/Healthcare Partners (Commercial)</t>
  </si>
  <si>
    <t>Optum/Primecare Medical Network/Healthcare Partners (Senior)</t>
  </si>
  <si>
    <t>Primecare Medical Group of Chino Valley, Inc.  (Senior)</t>
  </si>
  <si>
    <t>Primecare Medical Group of Chino Valley (Commercial)</t>
  </si>
  <si>
    <t>138 Per Visit</t>
  </si>
  <si>
    <t>Prospect Health Plan (Senior)</t>
  </si>
  <si>
    <t>Prospect Health Plan (Commercial)</t>
  </si>
  <si>
    <t>Prospect Health Plan (Medi-Cal)</t>
  </si>
  <si>
    <t>301827850E</t>
  </si>
  <si>
    <t>I UNOGLOBULIN E</t>
  </si>
  <si>
    <t>BILIRUBIN TOTAL</t>
  </si>
  <si>
    <t>ROM EXTREMITY/SPINE PT</t>
  </si>
  <si>
    <t>BIOFEEDBACK/EMG PELVIC ADDL 15</t>
  </si>
  <si>
    <t>COMPUTERIZED POSTUROGRAPHY</t>
  </si>
  <si>
    <t>ROM EA HAND W REPORT PT</t>
  </si>
  <si>
    <t>DEVELOPMENTAL TEST 1ST HR PT</t>
  </si>
  <si>
    <t>VASOPNEUMATIC DEVICES PT</t>
  </si>
  <si>
    <t>MASSAGE 15M PT</t>
  </si>
  <si>
    <t>THER INTV COG FCT INIT 15 M PT</t>
  </si>
  <si>
    <t>THER INTV COG FCT ADDL 15M PT</t>
  </si>
  <si>
    <t>192 PER VISIT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</si>
</sst>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#,##0.0"/>
    <numFmt numFmtId="170" formatCode="[$-10409]&quot;$&quot;#,##0.00;\(&quot;$&quot;#,##0.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dd\,\ mmmm\ dd\,\ yyyy"/>
    <numFmt numFmtId="176" formatCode="[$-409]h:mm:ss\ AM/PM"/>
    <numFmt numFmtId="177" formatCode="#,##0.000"/>
    <numFmt numFmtId="178" formatCode="0.0000000"/>
    <numFmt numFmtId="179" formatCode="0.00000000"/>
    <numFmt numFmtId="180" formatCode="_(* #,##0.0_);_(* \(#,##0.0\);_(* &quot;-&quot;??_);_(@_)"/>
    <numFmt numFmtId="181" formatCode="&quot;$&quot;#,##0.00"/>
    <numFmt numFmtId="182" formatCode="&quot;$&quot;#,##0"/>
    <numFmt numFmtId="183" formatCode="0000"/>
    <numFmt numFmtId="184" formatCode="_(&quot;$&quot;* #,##0_);_(&quot;$&quot;* \(#,##0\);_(&quot;$&quot;* &quot;-&quot;??_);_(@_)"/>
    <numFmt numFmtId="185" formatCode="_(* #,##0.0000_);_(* \(#,##0.0000\);_(* &quot;-&quot;????_);_(@_)"/>
    <numFmt numFmtId="186" formatCode="_(* #,##0.000_);_(* \(#,##0.000\);_(* &quot;-&quot;???_);_(@_)"/>
    <numFmt numFmtId="187" formatCode="[$-409]dddd\,\ mmmm\ d\,\ yyyy"/>
    <numFmt numFmtId="188" formatCode="_(* #,##0.0000000000_);_(* \(#,##0.0000000000\);_(* &quot;-&quot;??????????_);_(@_)"/>
    <numFmt numFmtId="189" formatCode="_(* #,##0.000000000_);_(* \(#,##0.000000000\);_(* &quot;-&quot;?????????_);_(@_)"/>
    <numFmt numFmtId="190" formatCode="_(* #,##0.000000_);_(* \(#,##0.000000\);_(* &quot;-&quot;??????_);_(@_)"/>
    <numFmt numFmtId="191" formatCode="_(* #,##0.00000000000_);_(* \(#,##0.00000000000\);_(* &quot;-&quot;???????????_);_(@_)"/>
  </numFmts>
  <fonts count="47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 val="single"/>
      <sz val="10"/>
      <color indexed="12"/>
      <name val="Arial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 wrapText="1"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vertical="top"/>
    </xf>
    <xf numFmtId="2" fontId="0" fillId="0" borderId="0" xfId="0" applyNumberFormat="1" applyFill="1" applyAlignment="1">
      <alignment vertical="top"/>
    </xf>
    <xf numFmtId="2" fontId="1" fillId="0" borderId="0" xfId="0" applyNumberFormat="1" applyFont="1" applyFill="1" applyAlignment="1">
      <alignment vertical="top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 vertical="top"/>
    </xf>
    <xf numFmtId="43" fontId="1" fillId="0" borderId="0" xfId="42" applyFont="1" applyFill="1" applyAlignment="1">
      <alignment vertical="top"/>
    </xf>
    <xf numFmtId="43" fontId="0" fillId="0" borderId="0" xfId="42" applyFont="1" applyFill="1" applyAlignment="1">
      <alignment vertical="top"/>
    </xf>
    <xf numFmtId="43" fontId="0" fillId="0" borderId="0" xfId="0" applyNumberFormat="1" applyFill="1" applyAlignment="1">
      <alignment vertical="top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43" fontId="1" fillId="0" borderId="0" xfId="42" applyFont="1" applyFill="1" applyAlignment="1">
      <alignment vertical="top"/>
    </xf>
    <xf numFmtId="0" fontId="0" fillId="0" borderId="0" xfId="0" applyFont="1" applyFill="1" applyAlignment="1">
      <alignment horizontal="center"/>
    </xf>
    <xf numFmtId="43" fontId="1" fillId="0" borderId="0" xfId="42" applyFont="1" applyFill="1" applyAlignment="1">
      <alignment vertical="top"/>
    </xf>
    <xf numFmtId="43" fontId="1" fillId="0" borderId="0" xfId="42" applyFont="1" applyFill="1" applyAlignment="1">
      <alignment vertical="top"/>
    </xf>
    <xf numFmtId="43" fontId="1" fillId="0" borderId="0" xfId="42" applyFont="1" applyFill="1" applyAlignment="1">
      <alignment vertical="top"/>
    </xf>
    <xf numFmtId="43" fontId="1" fillId="0" borderId="0" xfId="42" applyFont="1" applyFill="1" applyAlignment="1">
      <alignment vertical="top"/>
    </xf>
    <xf numFmtId="43" fontId="1" fillId="0" borderId="0" xfId="42" applyFont="1" applyFill="1" applyAlignment="1">
      <alignment vertical="top"/>
    </xf>
    <xf numFmtId="43" fontId="1" fillId="0" borderId="0" xfId="42" applyFont="1" applyFill="1" applyAlignment="1">
      <alignment/>
    </xf>
    <xf numFmtId="43" fontId="1" fillId="0" borderId="0" xfId="42" applyFont="1" applyFill="1" applyAlignment="1">
      <alignment vertical="top"/>
    </xf>
    <xf numFmtId="43" fontId="1" fillId="0" borderId="0" xfId="42" applyFont="1" applyFill="1" applyAlignment="1">
      <alignment vertical="top"/>
    </xf>
    <xf numFmtId="43" fontId="1" fillId="0" borderId="0" xfId="42" applyNumberFormat="1" applyFont="1" applyFill="1" applyAlignment="1">
      <alignment vertical="top"/>
    </xf>
    <xf numFmtId="0" fontId="0" fillId="0" borderId="0" xfId="0" applyNumberForma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2" fontId="1" fillId="0" borderId="0" xfId="42" applyNumberFormat="1" applyFont="1" applyFill="1" applyAlignment="1">
      <alignment vertical="top"/>
    </xf>
    <xf numFmtId="2" fontId="1" fillId="0" borderId="0" xfId="42" applyNumberFormat="1" applyFont="1" applyFill="1" applyAlignment="1">
      <alignment vertical="top"/>
    </xf>
    <xf numFmtId="2" fontId="1" fillId="0" borderId="0" xfId="42" applyNumberFormat="1" applyFont="1" applyFill="1" applyAlignment="1">
      <alignment vertical="top"/>
    </xf>
    <xf numFmtId="43" fontId="1" fillId="0" borderId="0" xfId="42" applyFont="1" applyFill="1" applyAlignment="1">
      <alignment vertical="top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46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43" fontId="3" fillId="0" borderId="0" xfId="42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43" fontId="3" fillId="0" borderId="0" xfId="42" applyNumberFormat="1" applyFont="1" applyFill="1" applyAlignment="1">
      <alignment horizontal="center" wrapText="1"/>
    </xf>
    <xf numFmtId="43" fontId="1" fillId="0" borderId="0" xfId="42" applyNumberFormat="1" applyFont="1" applyFill="1" applyAlignment="1">
      <alignment horizontal="center" vertical="top"/>
    </xf>
    <xf numFmtId="43" fontId="1" fillId="0" borderId="0" xfId="42" applyNumberFormat="1" applyFont="1" applyFill="1" applyAlignment="1">
      <alignment horizontal="center" vertical="top"/>
    </xf>
    <xf numFmtId="43" fontId="1" fillId="0" borderId="0" xfId="42" applyNumberFormat="1" applyFont="1" applyFill="1" applyAlignment="1">
      <alignment horizontal="center" vertical="top"/>
    </xf>
    <xf numFmtId="43" fontId="1" fillId="0" borderId="0" xfId="45" applyNumberFormat="1" applyFont="1" applyFill="1" applyAlignment="1">
      <alignment horizontal="center"/>
    </xf>
    <xf numFmtId="43" fontId="0" fillId="0" borderId="0" xfId="42" applyNumberFormat="1" applyFont="1" applyFill="1" applyAlignment="1">
      <alignment horizontal="center" vertical="top"/>
    </xf>
    <xf numFmtId="43" fontId="0" fillId="0" borderId="0" xfId="42" applyNumberFormat="1" applyFont="1" applyFill="1" applyAlignment="1">
      <alignment horizontal="center"/>
    </xf>
    <xf numFmtId="43" fontId="0" fillId="0" borderId="0" xfId="0" applyNumberFormat="1" applyFill="1" applyAlignment="1">
      <alignment/>
    </xf>
    <xf numFmtId="43" fontId="1" fillId="0" borderId="0" xfId="42" applyNumberFormat="1" applyFont="1" applyFill="1" applyAlignment="1">
      <alignment/>
    </xf>
    <xf numFmtId="43" fontId="1" fillId="0" borderId="0" xfId="42" applyNumberFormat="1" applyFont="1" applyFill="1" applyAlignment="1">
      <alignment/>
    </xf>
    <xf numFmtId="43" fontId="0" fillId="0" borderId="0" xfId="42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46" fillId="0" borderId="0" xfId="63" applyNumberFormat="1" applyFont="1" applyFill="1" applyAlignment="1">
      <alignment horizontal="center" vertical="top"/>
      <protection/>
    </xf>
    <xf numFmtId="43" fontId="1" fillId="0" borderId="0" xfId="42" applyFont="1" applyFill="1" applyAlignment="1">
      <alignment vertical="top"/>
    </xf>
    <xf numFmtId="43" fontId="0" fillId="0" borderId="0" xfId="42" applyFont="1" applyFill="1" applyAlignment="1">
      <alignment vertical="top"/>
    </xf>
    <xf numFmtId="43" fontId="24" fillId="0" borderId="0" xfId="0" applyNumberFormat="1" applyFont="1" applyBorder="1" applyAlignment="1">
      <alignment horizontal="right"/>
    </xf>
    <xf numFmtId="1" fontId="0" fillId="0" borderId="0" xfId="0" applyNumberFormat="1" applyFill="1" applyAlignment="1">
      <alignment horizontal="center" vertical="top"/>
    </xf>
    <xf numFmtId="43" fontId="1" fillId="0" borderId="0" xfId="42" applyNumberFormat="1" applyFont="1" applyFill="1" applyAlignment="1">
      <alignment vertical="top"/>
    </xf>
    <xf numFmtId="43" fontId="3" fillId="0" borderId="0" xfId="42" applyFont="1" applyFill="1" applyAlignment="1">
      <alignment horizontal="center" wrapText="1"/>
    </xf>
    <xf numFmtId="2" fontId="0" fillId="0" borderId="0" xfId="0" applyNumberFormat="1" applyAlignment="1">
      <alignment/>
    </xf>
    <xf numFmtId="166" fontId="1" fillId="0" borderId="0" xfId="0" applyNumberFormat="1" applyFont="1" applyFill="1" applyAlignment="1">
      <alignment vertical="top"/>
    </xf>
  </cellXfs>
  <cellStyles count="7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5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eutral 2" xfId="59"/>
    <cellStyle name="Normal 2" xfId="60"/>
    <cellStyle name="Normal 2 2" xfId="61"/>
    <cellStyle name="Normal 3" xfId="62"/>
    <cellStyle name="Normal 7" xfId="63"/>
    <cellStyle name="Normal 8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argemaster%20-%20Price%20Transparenc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rice Transparency"/>
      <sheetName val="300 Sppbl 12.22.23"/>
      <sheetName val="OP Cash Rates"/>
      <sheetName val="Dept Lookup"/>
      <sheetName val="Commercial&gt;"/>
      <sheetName val="Routine Pricing"/>
      <sheetName val="Audiology CPTs"/>
      <sheetName val="Aetna FS"/>
      <sheetName val="Aetna Grpr Jul-23"/>
      <sheetName val="Anthem BC Reimb"/>
      <sheetName val="Anthem BC OP Groupers"/>
      <sheetName val="Anthem BC Audiology"/>
      <sheetName val="BS OP Grouper"/>
      <sheetName val="BS Clinical Lab"/>
      <sheetName val="CIGNA OPS Grouper"/>
      <sheetName val="CIGNA Lab &amp; Rad FS"/>
      <sheetName val="IEHP OP Therapy"/>
      <sheetName val="UHC Lab FS"/>
      <sheetName val="UHC OP Grouper"/>
      <sheetName val="MCR&gt;"/>
      <sheetName val="(1) 2023 October Addendum B"/>
      <sheetName val="(2) CLAB2023Q4"/>
      <sheetName val="(3) CA Area 18 MCR B PFS"/>
      <sheetName val="MCL&gt;"/>
      <sheetName val="MCL Rates"/>
      <sheetName val="Meditech&gt;"/>
      <sheetName val="Meditech Source"/>
      <sheetName val="CDM LIVE_111723"/>
      <sheetName val="CDM Alt Codes 1117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16"/>
  <sheetViews>
    <sheetView tabSelected="1" zoomScale="85" zoomScaleNormal="85" zoomScalePageLayoutView="0" workbookViewId="0" topLeftCell="A1">
      <pane ySplit="660" topLeftCell="A1" activePane="bottomLeft" state="split"/>
      <selection pane="topLeft" activeCell="BF1" sqref="I1:BF16384"/>
      <selection pane="bottomLeft" activeCell="A137" sqref="A137"/>
    </sheetView>
  </sheetViews>
  <sheetFormatPr defaultColWidth="9.140625" defaultRowHeight="12.75"/>
  <cols>
    <col min="1" max="1" width="9.140625" style="10" customWidth="1"/>
    <col min="2" max="2" width="20.8515625" style="6" bestFit="1" customWidth="1"/>
    <col min="3" max="3" width="18.28125" style="10" bestFit="1" customWidth="1"/>
    <col min="4" max="4" width="77.421875" style="29" customWidth="1"/>
    <col min="5" max="5" width="64.140625" style="6" customWidth="1"/>
    <col min="6" max="6" width="21.00390625" style="42" bestFit="1" customWidth="1"/>
    <col min="7" max="7" width="20.8515625" style="6" customWidth="1"/>
    <col min="8" max="8" width="16.8515625" style="37" customWidth="1"/>
    <col min="9" max="9" width="28.57421875" style="6" customWidth="1"/>
    <col min="10" max="10" width="14.57421875" style="8" customWidth="1"/>
    <col min="11" max="11" width="18.7109375" style="10" customWidth="1"/>
    <col min="12" max="13" width="33.421875" style="1" customWidth="1"/>
    <col min="14" max="14" width="27.140625" style="17" customWidth="1"/>
    <col min="15" max="15" width="33.421875" style="8" customWidth="1"/>
    <col min="16" max="16" width="23.00390625" style="8" customWidth="1"/>
    <col min="17" max="17" width="49.140625" style="1" customWidth="1"/>
    <col min="18" max="18" width="35.140625" style="1" customWidth="1"/>
    <col min="19" max="19" width="38.28125" style="1" customWidth="1"/>
    <col min="20" max="20" width="32.140625" style="1" customWidth="1"/>
    <col min="21" max="21" width="22.421875" style="17" customWidth="1"/>
    <col min="22" max="22" width="33.421875" style="1" customWidth="1"/>
    <col min="23" max="23" width="21.7109375" style="17" customWidth="1"/>
    <col min="24" max="24" width="21.7109375" style="8" customWidth="1"/>
    <col min="25" max="25" width="26.57421875" style="17" customWidth="1"/>
    <col min="26" max="26" width="26.421875" style="8" customWidth="1"/>
    <col min="27" max="27" width="21.7109375" style="20" customWidth="1"/>
    <col min="28" max="28" width="34.8515625" style="8" customWidth="1"/>
    <col min="29" max="29" width="24.57421875" style="8" customWidth="1"/>
    <col min="30" max="31" width="33.421875" style="8" customWidth="1"/>
    <col min="32" max="32" width="49.8515625" style="8" customWidth="1"/>
    <col min="33" max="33" width="27.421875" style="8" customWidth="1"/>
    <col min="34" max="34" width="39.8515625" style="8" customWidth="1"/>
    <col min="35" max="35" width="36.57421875" style="8" customWidth="1"/>
    <col min="36" max="36" width="27.00390625" style="17" customWidth="1"/>
    <col min="37" max="37" width="21.7109375" style="8" customWidth="1"/>
    <col min="38" max="38" width="26.140625" style="8" customWidth="1"/>
    <col min="39" max="39" width="46.421875" style="8" customWidth="1"/>
    <col min="40" max="40" width="30.00390625" style="8" customWidth="1"/>
    <col min="41" max="41" width="37.8515625" style="8" customWidth="1"/>
    <col min="42" max="42" width="16.421875" style="8" customWidth="1"/>
    <col min="43" max="43" width="18.8515625" style="8" customWidth="1"/>
    <col min="44" max="44" width="14.421875" style="17" customWidth="1"/>
    <col min="45" max="45" width="46.421875" style="8" customWidth="1"/>
    <col min="46" max="46" width="24.140625" style="17" customWidth="1"/>
    <col min="47" max="47" width="21.7109375" style="8" customWidth="1"/>
    <col min="48" max="48" width="47.57421875" style="8" customWidth="1"/>
    <col min="49" max="49" width="37.28125" style="8" customWidth="1"/>
    <col min="50" max="50" width="44.140625" style="8" customWidth="1"/>
    <col min="51" max="51" width="32.7109375" style="20" customWidth="1"/>
    <col min="52" max="52" width="38.00390625" style="8" customWidth="1"/>
    <col min="53" max="56" width="40.00390625" style="8" customWidth="1"/>
    <col min="57" max="57" width="21.8515625" style="8" customWidth="1"/>
    <col min="58" max="58" width="43.28125" style="8" customWidth="1"/>
    <col min="59" max="59" width="32.8515625" style="8" customWidth="1"/>
    <col min="60" max="60" width="27.8515625" style="8" customWidth="1"/>
    <col min="61" max="61" width="33.421875" style="8" customWidth="1"/>
    <col min="62" max="62" width="54.57421875" style="8" customWidth="1"/>
    <col min="63" max="63" width="33.421875" style="8" customWidth="1"/>
    <col min="64" max="64" width="29.00390625" style="17" customWidth="1"/>
    <col min="65" max="65" width="47.57421875" style="8" customWidth="1"/>
    <col min="66" max="66" width="36.28125" style="8" customWidth="1"/>
    <col min="67" max="67" width="37.00390625" style="8" customWidth="1"/>
    <col min="68" max="68" width="15.421875" style="1" customWidth="1"/>
    <col min="69" max="16384" width="9.140625" style="1" customWidth="1"/>
  </cols>
  <sheetData>
    <row r="1" spans="1:67" s="34" customFormat="1" ht="25.5">
      <c r="A1" s="34" t="s">
        <v>247</v>
      </c>
      <c r="B1" s="34" t="s">
        <v>376</v>
      </c>
      <c r="C1" s="34" t="s">
        <v>0</v>
      </c>
      <c r="D1" s="34" t="s">
        <v>88</v>
      </c>
      <c r="E1" s="34" t="s">
        <v>91</v>
      </c>
      <c r="F1" s="41" t="s">
        <v>385</v>
      </c>
      <c r="G1" s="34" t="s">
        <v>377</v>
      </c>
      <c r="H1" s="34" t="s">
        <v>384</v>
      </c>
      <c r="I1" s="34" t="s">
        <v>93</v>
      </c>
      <c r="J1" s="35" t="s">
        <v>90</v>
      </c>
      <c r="K1" s="38" t="s">
        <v>380</v>
      </c>
      <c r="L1" s="36" t="s">
        <v>53</v>
      </c>
      <c r="M1" s="36" t="s">
        <v>54</v>
      </c>
      <c r="N1" s="35" t="s">
        <v>56</v>
      </c>
      <c r="O1" s="35" t="s">
        <v>55</v>
      </c>
      <c r="P1" s="35" t="s">
        <v>57</v>
      </c>
      <c r="Q1" s="34" t="s">
        <v>106</v>
      </c>
      <c r="R1" s="34" t="s">
        <v>87</v>
      </c>
      <c r="S1" s="34" t="s">
        <v>58</v>
      </c>
      <c r="T1" s="34" t="s">
        <v>59</v>
      </c>
      <c r="U1" s="35" t="s">
        <v>60</v>
      </c>
      <c r="V1" s="34" t="s">
        <v>283</v>
      </c>
      <c r="W1" s="35" t="s">
        <v>61</v>
      </c>
      <c r="X1" s="35" t="s">
        <v>62</v>
      </c>
      <c r="Y1" s="35" t="s">
        <v>63</v>
      </c>
      <c r="Z1" s="35" t="s">
        <v>225</v>
      </c>
      <c r="AA1" s="35" t="s">
        <v>361</v>
      </c>
      <c r="AB1" s="35" t="s">
        <v>84</v>
      </c>
      <c r="AC1" s="35" t="s">
        <v>85</v>
      </c>
      <c r="AD1" s="35" t="s">
        <v>387</v>
      </c>
      <c r="AE1" s="35" t="s">
        <v>122</v>
      </c>
      <c r="AF1" s="35" t="s">
        <v>110</v>
      </c>
      <c r="AG1" s="35" t="s">
        <v>64</v>
      </c>
      <c r="AH1" s="35" t="s">
        <v>396</v>
      </c>
      <c r="AI1" s="35" t="s">
        <v>397</v>
      </c>
      <c r="AJ1" s="35" t="s">
        <v>65</v>
      </c>
      <c r="AK1" s="35" t="s">
        <v>66</v>
      </c>
      <c r="AL1" s="35" t="s">
        <v>67</v>
      </c>
      <c r="AM1" s="35" t="s">
        <v>68</v>
      </c>
      <c r="AN1" s="35" t="s">
        <v>69</v>
      </c>
      <c r="AO1" s="35" t="s">
        <v>70</v>
      </c>
      <c r="AP1" s="35" t="s">
        <v>71</v>
      </c>
      <c r="AQ1" s="35" t="s">
        <v>72</v>
      </c>
      <c r="AR1" s="35" t="s">
        <v>73</v>
      </c>
      <c r="AS1" s="35" t="s">
        <v>74</v>
      </c>
      <c r="AT1" s="35" t="s">
        <v>75</v>
      </c>
      <c r="AU1" s="35" t="s">
        <v>82</v>
      </c>
      <c r="AV1" s="35" t="s">
        <v>76</v>
      </c>
      <c r="AW1" s="35" t="s">
        <v>108</v>
      </c>
      <c r="AX1" s="35" t="s">
        <v>105</v>
      </c>
      <c r="AY1" s="35" t="s">
        <v>362</v>
      </c>
      <c r="AZ1" s="59" t="s">
        <v>398</v>
      </c>
      <c r="BA1" s="59" t="s">
        <v>399</v>
      </c>
      <c r="BB1" s="59" t="s">
        <v>401</v>
      </c>
      <c r="BC1" s="59" t="s">
        <v>402</v>
      </c>
      <c r="BD1" s="59" t="s">
        <v>403</v>
      </c>
      <c r="BE1" s="35" t="s">
        <v>390</v>
      </c>
      <c r="BF1" s="35" t="s">
        <v>86</v>
      </c>
      <c r="BG1" s="35" t="s">
        <v>127</v>
      </c>
      <c r="BH1" s="35" t="s">
        <v>78</v>
      </c>
      <c r="BI1" s="35" t="s">
        <v>77</v>
      </c>
      <c r="BJ1" s="35" t="s">
        <v>109</v>
      </c>
      <c r="BK1" s="35" t="s">
        <v>79</v>
      </c>
      <c r="BL1" s="35" t="s">
        <v>80</v>
      </c>
      <c r="BM1" s="35" t="s">
        <v>81</v>
      </c>
      <c r="BN1" s="35" t="s">
        <v>284</v>
      </c>
      <c r="BO1" s="35" t="s">
        <v>285</v>
      </c>
    </row>
    <row r="2" spans="1:67" ht="19.5" customHeight="1">
      <c r="A2" s="10">
        <v>1</v>
      </c>
      <c r="B2" s="11" t="s">
        <v>83</v>
      </c>
      <c r="C2" s="11" t="s">
        <v>378</v>
      </c>
      <c r="D2" s="30" t="s">
        <v>120</v>
      </c>
      <c r="E2" s="11" t="s">
        <v>121</v>
      </c>
      <c r="F2" s="42">
        <v>72355.96</v>
      </c>
      <c r="G2" s="11" t="s">
        <v>378</v>
      </c>
      <c r="H2" s="48">
        <v>0</v>
      </c>
      <c r="I2" s="57">
        <v>16.71</v>
      </c>
      <c r="J2" s="8">
        <f aca="true" t="shared" si="0" ref="J2:J22">L2*1.3</f>
        <v>41749.669</v>
      </c>
      <c r="K2" s="24" t="s">
        <v>381</v>
      </c>
      <c r="L2" s="17">
        <v>32115.13</v>
      </c>
      <c r="M2" s="8">
        <f aca="true" t="shared" si="1" ref="M2:M22">1194*I2</f>
        <v>19951.74</v>
      </c>
      <c r="N2" s="17">
        <f>1985.7*I2</f>
        <v>33181.047000000006</v>
      </c>
      <c r="O2" s="8">
        <f aca="true" t="shared" si="2" ref="O2:O22">L2</f>
        <v>32115.13</v>
      </c>
      <c r="P2" s="8">
        <f>1859*I2</f>
        <v>31063.890000000003</v>
      </c>
      <c r="Q2" s="14">
        <v>0</v>
      </c>
      <c r="R2" s="14">
        <v>0</v>
      </c>
      <c r="S2" s="8">
        <f aca="true" t="shared" si="3" ref="S2:S22">L2</f>
        <v>32115.13</v>
      </c>
      <c r="T2" s="21">
        <f>1695*I2</f>
        <v>28323.45</v>
      </c>
      <c r="U2" s="17">
        <f>1548*I2</f>
        <v>25867.08</v>
      </c>
      <c r="V2" s="3">
        <f aca="true" t="shared" si="4" ref="V2:V22">L2</f>
        <v>32115.13</v>
      </c>
      <c r="W2" s="3" t="s">
        <v>83</v>
      </c>
      <c r="X2" s="8">
        <f aca="true" t="shared" si="5" ref="X2:X22">L2</f>
        <v>32115.13</v>
      </c>
      <c r="Y2" s="17">
        <f>1521*I2</f>
        <v>25415.91</v>
      </c>
      <c r="Z2" s="8">
        <f>1702*I2</f>
        <v>28440.420000000002</v>
      </c>
      <c r="AA2" s="12">
        <f aca="true" t="shared" si="6" ref="AA2:AA22">L2*0.9</f>
        <v>28903.617000000002</v>
      </c>
      <c r="AB2" s="8">
        <f aca="true" t="shared" si="7" ref="AB2:AB22">L2</f>
        <v>32115.13</v>
      </c>
      <c r="AC2" s="7">
        <f aca="true" t="shared" si="8" ref="AC2:AC22">L2*1.05</f>
        <v>33720.8865</v>
      </c>
      <c r="AD2" s="9">
        <f aca="true" t="shared" si="9" ref="AD2:AD22">L2</f>
        <v>32115.13</v>
      </c>
      <c r="AE2" s="8">
        <f aca="true" t="shared" si="10" ref="AE2:AE22">L2</f>
        <v>32115.13</v>
      </c>
      <c r="AF2" s="8">
        <f aca="true" t="shared" si="11" ref="AF2:AF22">L2*0.92</f>
        <v>29545.9196</v>
      </c>
      <c r="AG2" s="7">
        <f aca="true" t="shared" si="12" ref="AG2:AG22">F2*0.7</f>
        <v>50649.172</v>
      </c>
      <c r="AH2" s="8">
        <f>1600*16+1400</f>
        <v>27000</v>
      </c>
      <c r="AI2" s="8">
        <f>1600*16+1400</f>
        <v>27000</v>
      </c>
      <c r="AJ2" s="7">
        <f aca="true" t="shared" si="13" ref="AJ2:AJ22">1645*I2</f>
        <v>27487.95</v>
      </c>
      <c r="AK2" s="8">
        <f aca="true" t="shared" si="14" ref="AK2:AK22">L2</f>
        <v>32115.13</v>
      </c>
      <c r="AL2" s="8">
        <f aca="true" t="shared" si="15" ref="AL2:AL22">1700*I2</f>
        <v>28407</v>
      </c>
      <c r="AM2" s="3" t="s">
        <v>83</v>
      </c>
      <c r="AN2" s="3" t="s">
        <v>83</v>
      </c>
      <c r="AO2" s="3" t="s">
        <v>83</v>
      </c>
      <c r="AP2" s="8">
        <f>1529*I2</f>
        <v>25549.59</v>
      </c>
      <c r="AQ2" s="7" t="s">
        <v>83</v>
      </c>
      <c r="AR2" s="9">
        <f aca="true" t="shared" si="16" ref="AR2:AR22">M2</f>
        <v>19951.74</v>
      </c>
      <c r="AS2" s="8">
        <f aca="true" t="shared" si="17" ref="AS2:AS22">L2</f>
        <v>32115.13</v>
      </c>
      <c r="AT2" s="17">
        <f>1808*I2</f>
        <v>30211.68</v>
      </c>
      <c r="AU2" s="9">
        <f>M2*1.1</f>
        <v>21946.914000000004</v>
      </c>
      <c r="AV2" s="8">
        <f aca="true" t="shared" si="18" ref="AV2:AV22">L2</f>
        <v>32115.13</v>
      </c>
      <c r="AW2" s="4">
        <f>2075*I2</f>
        <v>34673.25</v>
      </c>
      <c r="AX2" s="8">
        <f>1610*I2</f>
        <v>26903.100000000002</v>
      </c>
      <c r="AY2" s="14">
        <v>0</v>
      </c>
      <c r="AZ2" s="14">
        <v>0</v>
      </c>
      <c r="BA2" s="14">
        <v>0</v>
      </c>
      <c r="BB2" s="8">
        <f>2200*I2</f>
        <v>36762</v>
      </c>
      <c r="BC2" s="8">
        <f>2500*I2</f>
        <v>41775</v>
      </c>
      <c r="BD2" s="8">
        <f>1900*I2</f>
        <v>31749</v>
      </c>
      <c r="BE2" s="8">
        <f aca="true" t="shared" si="19" ref="BE2:BE22">1375*I2</f>
        <v>22976.25</v>
      </c>
      <c r="BF2" s="8">
        <f aca="true" t="shared" si="20" ref="BF2:BF22">L2</f>
        <v>32115.13</v>
      </c>
      <c r="BG2" s="8">
        <f aca="true" t="shared" si="21" ref="BG2:BG22">L2*0.95</f>
        <v>30509.373499999998</v>
      </c>
      <c r="BH2" s="14">
        <v>0</v>
      </c>
      <c r="BI2" s="14">
        <v>0</v>
      </c>
      <c r="BJ2" s="8">
        <f aca="true" t="shared" si="22" ref="BJ2:BJ22">L2*0.95</f>
        <v>30509.373499999998</v>
      </c>
      <c r="BK2" s="9">
        <f aca="true" t="shared" si="23" ref="BK2:BK22">L2</f>
        <v>32115.13</v>
      </c>
      <c r="BL2" s="17">
        <f>2125*I2</f>
        <v>35508.75</v>
      </c>
      <c r="BM2" s="8">
        <f aca="true" t="shared" si="24" ref="BM2:BM22">L2</f>
        <v>32115.13</v>
      </c>
      <c r="BN2" s="8">
        <f>MIN(N2:BM2:BM2)</f>
        <v>0</v>
      </c>
      <c r="BO2" s="8">
        <f aca="true" t="shared" si="25" ref="BO2:BO33">MAX(N2:BM2)</f>
        <v>50649.172</v>
      </c>
    </row>
    <row r="3" spans="1:67" ht="19.5" customHeight="1">
      <c r="A3" s="10">
        <f aca="true" t="shared" si="26" ref="A3:A9">A2+1</f>
        <v>2</v>
      </c>
      <c r="B3" s="11" t="s">
        <v>83</v>
      </c>
      <c r="C3" s="11" t="s">
        <v>378</v>
      </c>
      <c r="D3" s="30" t="s">
        <v>210</v>
      </c>
      <c r="E3" s="11" t="s">
        <v>121</v>
      </c>
      <c r="F3" s="42">
        <v>44687.17</v>
      </c>
      <c r="G3" s="11" t="s">
        <v>378</v>
      </c>
      <c r="H3" s="48">
        <v>0</v>
      </c>
      <c r="I3" s="57">
        <v>13.83</v>
      </c>
      <c r="J3" s="8">
        <f t="shared" si="0"/>
        <v>35679.306</v>
      </c>
      <c r="K3" s="24" t="s">
        <v>381</v>
      </c>
      <c r="L3" s="17">
        <v>27445.62</v>
      </c>
      <c r="M3" s="8">
        <f t="shared" si="1"/>
        <v>16513.02</v>
      </c>
      <c r="N3" s="17">
        <f aca="true" t="shared" si="27" ref="N3:N22">1985.7*I3</f>
        <v>27462.231</v>
      </c>
      <c r="O3" s="8">
        <f t="shared" si="2"/>
        <v>27445.62</v>
      </c>
      <c r="P3" s="8">
        <f>1859*I3</f>
        <v>25709.97</v>
      </c>
      <c r="Q3" s="14">
        <v>0</v>
      </c>
      <c r="R3" s="14">
        <v>0</v>
      </c>
      <c r="S3" s="8">
        <f t="shared" si="3"/>
        <v>27445.62</v>
      </c>
      <c r="T3" s="21">
        <f>1695*I3</f>
        <v>23441.85</v>
      </c>
      <c r="U3" s="17">
        <f>1548*I3</f>
        <v>21408.84</v>
      </c>
      <c r="V3" s="3">
        <f t="shared" si="4"/>
        <v>27445.62</v>
      </c>
      <c r="W3" s="3" t="s">
        <v>83</v>
      </c>
      <c r="X3" s="8">
        <f t="shared" si="5"/>
        <v>27445.62</v>
      </c>
      <c r="Y3" s="17">
        <f>1521*I3</f>
        <v>21035.43</v>
      </c>
      <c r="Z3" s="8">
        <f>1702*I3</f>
        <v>23538.66</v>
      </c>
      <c r="AA3" s="12">
        <f t="shared" si="6"/>
        <v>24701.058</v>
      </c>
      <c r="AB3" s="8">
        <f t="shared" si="7"/>
        <v>27445.62</v>
      </c>
      <c r="AC3" s="7">
        <f t="shared" si="8"/>
        <v>28817.901</v>
      </c>
      <c r="AD3" s="9">
        <f t="shared" si="9"/>
        <v>27445.62</v>
      </c>
      <c r="AE3" s="8">
        <f t="shared" si="10"/>
        <v>27445.62</v>
      </c>
      <c r="AF3" s="8">
        <f t="shared" si="11"/>
        <v>25249.970400000002</v>
      </c>
      <c r="AG3" s="7">
        <f t="shared" si="12"/>
        <v>31281.018999999997</v>
      </c>
      <c r="AH3" s="8">
        <f>1600*I3</f>
        <v>22128</v>
      </c>
      <c r="AI3" s="8">
        <f>1600*I3</f>
        <v>22128</v>
      </c>
      <c r="AJ3" s="7">
        <f t="shared" si="13"/>
        <v>22750.35</v>
      </c>
      <c r="AK3" s="8">
        <f t="shared" si="14"/>
        <v>27445.62</v>
      </c>
      <c r="AL3" s="8">
        <f t="shared" si="15"/>
        <v>23511</v>
      </c>
      <c r="AM3" s="3" t="s">
        <v>83</v>
      </c>
      <c r="AN3" s="3" t="s">
        <v>83</v>
      </c>
      <c r="AO3" s="3" t="s">
        <v>83</v>
      </c>
      <c r="AP3" s="8">
        <f>1529*I3</f>
        <v>21146.07</v>
      </c>
      <c r="AQ3" s="7" t="s">
        <v>83</v>
      </c>
      <c r="AR3" s="9">
        <f t="shared" si="16"/>
        <v>16513.02</v>
      </c>
      <c r="AS3" s="8">
        <f t="shared" si="17"/>
        <v>27445.62</v>
      </c>
      <c r="AT3" s="17">
        <f aca="true" t="shared" si="28" ref="AT3:AT22">1808*I3</f>
        <v>25004.64</v>
      </c>
      <c r="AU3" s="9">
        <f aca="true" t="shared" si="29" ref="AU3:AU22">M3*1.1</f>
        <v>18164.322000000004</v>
      </c>
      <c r="AV3" s="8">
        <f t="shared" si="18"/>
        <v>27445.62</v>
      </c>
      <c r="AW3" s="4">
        <f>2075*I3</f>
        <v>28697.25</v>
      </c>
      <c r="AX3" s="8">
        <f>1610*I3</f>
        <v>22266.3</v>
      </c>
      <c r="AY3" s="14">
        <v>0</v>
      </c>
      <c r="AZ3" s="14">
        <v>0</v>
      </c>
      <c r="BA3" s="14">
        <v>0</v>
      </c>
      <c r="BB3" s="8">
        <f aca="true" t="shared" si="30" ref="BB3:BB22">2200*I3</f>
        <v>30426</v>
      </c>
      <c r="BC3" s="8">
        <f aca="true" t="shared" si="31" ref="BC3:BC22">2500*I3</f>
        <v>34575</v>
      </c>
      <c r="BD3" s="8">
        <f aca="true" t="shared" si="32" ref="BD3:BD22">1900*I3</f>
        <v>26277</v>
      </c>
      <c r="BE3" s="8">
        <f t="shared" si="19"/>
        <v>19016.25</v>
      </c>
      <c r="BF3" s="8">
        <f t="shared" si="20"/>
        <v>27445.62</v>
      </c>
      <c r="BG3" s="8">
        <f t="shared" si="21"/>
        <v>26073.338999999996</v>
      </c>
      <c r="BH3" s="14">
        <v>0</v>
      </c>
      <c r="BI3" s="14">
        <v>0</v>
      </c>
      <c r="BJ3" s="8">
        <f t="shared" si="22"/>
        <v>26073.338999999996</v>
      </c>
      <c r="BK3" s="9">
        <f t="shared" si="23"/>
        <v>27445.62</v>
      </c>
      <c r="BL3" s="17">
        <f aca="true" t="shared" si="33" ref="BL3:BL22">2125*I3</f>
        <v>29388.75</v>
      </c>
      <c r="BM3" s="8">
        <f t="shared" si="24"/>
        <v>27445.62</v>
      </c>
      <c r="BN3" s="8">
        <f>MIN(N3:BM3:BM3)</f>
        <v>0</v>
      </c>
      <c r="BO3" s="8">
        <f t="shared" si="25"/>
        <v>34575</v>
      </c>
    </row>
    <row r="4" spans="1:67" ht="19.5" customHeight="1">
      <c r="A4" s="10">
        <f t="shared" si="26"/>
        <v>3</v>
      </c>
      <c r="B4" s="11" t="s">
        <v>83</v>
      </c>
      <c r="C4" s="11" t="s">
        <v>378</v>
      </c>
      <c r="D4" s="30" t="s">
        <v>209</v>
      </c>
      <c r="E4" s="11" t="s">
        <v>121</v>
      </c>
      <c r="F4" s="42">
        <v>54129.73</v>
      </c>
      <c r="G4" s="11" t="s">
        <v>378</v>
      </c>
      <c r="H4" s="48">
        <v>0</v>
      </c>
      <c r="I4" s="57">
        <v>15.19</v>
      </c>
      <c r="J4" s="8">
        <f t="shared" si="0"/>
        <v>31621.369000000002</v>
      </c>
      <c r="K4" s="24" t="s">
        <v>381</v>
      </c>
      <c r="L4" s="17">
        <v>24324.13</v>
      </c>
      <c r="M4" s="8">
        <f t="shared" si="1"/>
        <v>18136.86</v>
      </c>
      <c r="N4" s="17">
        <f t="shared" si="27"/>
        <v>30162.783</v>
      </c>
      <c r="O4" s="8">
        <f t="shared" si="2"/>
        <v>24324.13</v>
      </c>
      <c r="P4" s="8">
        <f aca="true" t="shared" si="34" ref="P4:P22">1859*I4</f>
        <v>28238.21</v>
      </c>
      <c r="Q4" s="14">
        <v>0</v>
      </c>
      <c r="R4" s="14">
        <v>0</v>
      </c>
      <c r="S4" s="8">
        <f t="shared" si="3"/>
        <v>24324.13</v>
      </c>
      <c r="T4" s="21">
        <f>1695*I4</f>
        <v>25747.05</v>
      </c>
      <c r="U4" s="17">
        <f>1548*I4</f>
        <v>23514.12</v>
      </c>
      <c r="V4" s="3">
        <f t="shared" si="4"/>
        <v>24324.13</v>
      </c>
      <c r="W4" s="3" t="s">
        <v>83</v>
      </c>
      <c r="X4" s="8">
        <f t="shared" si="5"/>
        <v>24324.13</v>
      </c>
      <c r="Y4" s="17">
        <f>1521*I4</f>
        <v>23103.989999999998</v>
      </c>
      <c r="Z4" s="8">
        <f>1702*I4</f>
        <v>25853.379999999997</v>
      </c>
      <c r="AA4" s="12">
        <f t="shared" si="6"/>
        <v>21891.717</v>
      </c>
      <c r="AB4" s="8">
        <f t="shared" si="7"/>
        <v>24324.13</v>
      </c>
      <c r="AC4" s="7">
        <f t="shared" si="8"/>
        <v>25540.3365</v>
      </c>
      <c r="AD4" s="9">
        <f t="shared" si="9"/>
        <v>24324.13</v>
      </c>
      <c r="AE4" s="8">
        <f t="shared" si="10"/>
        <v>24324.13</v>
      </c>
      <c r="AF4" s="8">
        <f t="shared" si="11"/>
        <v>22378.199600000004</v>
      </c>
      <c r="AG4" s="7">
        <f t="shared" si="12"/>
        <v>37890.811</v>
      </c>
      <c r="AH4" s="8">
        <f>1600*I4</f>
        <v>24304</v>
      </c>
      <c r="AI4" s="8">
        <f>1600*I4</f>
        <v>24304</v>
      </c>
      <c r="AJ4" s="7">
        <f t="shared" si="13"/>
        <v>24987.55</v>
      </c>
      <c r="AK4" s="8">
        <f t="shared" si="14"/>
        <v>24324.13</v>
      </c>
      <c r="AL4" s="8">
        <f t="shared" si="15"/>
        <v>25823</v>
      </c>
      <c r="AM4" s="3" t="s">
        <v>83</v>
      </c>
      <c r="AN4" s="3" t="s">
        <v>83</v>
      </c>
      <c r="AO4" s="3" t="s">
        <v>83</v>
      </c>
      <c r="AP4" s="8">
        <f>1529*I4</f>
        <v>23225.51</v>
      </c>
      <c r="AQ4" s="7" t="s">
        <v>83</v>
      </c>
      <c r="AR4" s="9">
        <f t="shared" si="16"/>
        <v>18136.86</v>
      </c>
      <c r="AS4" s="8">
        <f t="shared" si="17"/>
        <v>24324.13</v>
      </c>
      <c r="AT4" s="17">
        <f t="shared" si="28"/>
        <v>27463.52</v>
      </c>
      <c r="AU4" s="9">
        <f t="shared" si="29"/>
        <v>19950.546000000002</v>
      </c>
      <c r="AV4" s="8">
        <f t="shared" si="18"/>
        <v>24324.13</v>
      </c>
      <c r="AW4" s="4">
        <f>2075*I4</f>
        <v>31519.25</v>
      </c>
      <c r="AX4" s="8">
        <f>1610*I4</f>
        <v>24455.899999999998</v>
      </c>
      <c r="AY4" s="14">
        <v>0</v>
      </c>
      <c r="AZ4" s="14">
        <v>0</v>
      </c>
      <c r="BA4" s="14">
        <v>0</v>
      </c>
      <c r="BB4" s="8">
        <f t="shared" si="30"/>
        <v>33418</v>
      </c>
      <c r="BC4" s="8">
        <f t="shared" si="31"/>
        <v>37975</v>
      </c>
      <c r="BD4" s="8">
        <f t="shared" si="32"/>
        <v>28861</v>
      </c>
      <c r="BE4" s="8">
        <f t="shared" si="19"/>
        <v>20886.25</v>
      </c>
      <c r="BF4" s="8">
        <f t="shared" si="20"/>
        <v>24324.13</v>
      </c>
      <c r="BG4" s="8">
        <f t="shared" si="21"/>
        <v>23107.9235</v>
      </c>
      <c r="BH4" s="14">
        <v>0</v>
      </c>
      <c r="BI4" s="14">
        <v>0</v>
      </c>
      <c r="BJ4" s="8">
        <f t="shared" si="22"/>
        <v>23107.9235</v>
      </c>
      <c r="BK4" s="9">
        <f t="shared" si="23"/>
        <v>24324.13</v>
      </c>
      <c r="BL4" s="17">
        <f t="shared" si="33"/>
        <v>32278.75</v>
      </c>
      <c r="BM4" s="8">
        <f t="shared" si="24"/>
        <v>24324.13</v>
      </c>
      <c r="BN4" s="8">
        <f>MIN(N4:BM4:BM4)</f>
        <v>0</v>
      </c>
      <c r="BO4" s="8">
        <f t="shared" si="25"/>
        <v>37975</v>
      </c>
    </row>
    <row r="5" spans="1:67" ht="19.5" customHeight="1">
      <c r="A5" s="10">
        <f t="shared" si="26"/>
        <v>4</v>
      </c>
      <c r="B5" s="11" t="s">
        <v>83</v>
      </c>
      <c r="C5" s="11" t="s">
        <v>378</v>
      </c>
      <c r="D5" s="30" t="s">
        <v>211</v>
      </c>
      <c r="E5" s="11" t="s">
        <v>121</v>
      </c>
      <c r="F5" s="42">
        <v>49661.82</v>
      </c>
      <c r="G5" s="11" t="s">
        <v>378</v>
      </c>
      <c r="H5" s="48">
        <v>0</v>
      </c>
      <c r="I5" s="57">
        <v>15.45</v>
      </c>
      <c r="J5" s="8">
        <f t="shared" si="0"/>
        <v>31215.041</v>
      </c>
      <c r="K5" s="24" t="s">
        <v>381</v>
      </c>
      <c r="L5" s="17">
        <v>24011.57</v>
      </c>
      <c r="M5" s="8">
        <f t="shared" si="1"/>
        <v>18447.3</v>
      </c>
      <c r="N5" s="17">
        <f t="shared" si="27"/>
        <v>30679.065</v>
      </c>
      <c r="O5" s="8">
        <f t="shared" si="2"/>
        <v>24011.57</v>
      </c>
      <c r="P5" s="8">
        <f t="shared" si="34"/>
        <v>28721.55</v>
      </c>
      <c r="Q5" s="14">
        <v>0</v>
      </c>
      <c r="R5" s="14">
        <v>0</v>
      </c>
      <c r="S5" s="8">
        <f t="shared" si="3"/>
        <v>24011.57</v>
      </c>
      <c r="T5" s="21">
        <f>1695*I5</f>
        <v>26187.75</v>
      </c>
      <c r="U5" s="17">
        <f>1548*I5</f>
        <v>23916.6</v>
      </c>
      <c r="V5" s="3">
        <f t="shared" si="4"/>
        <v>24011.57</v>
      </c>
      <c r="W5" s="3" t="s">
        <v>83</v>
      </c>
      <c r="X5" s="8">
        <f t="shared" si="5"/>
        <v>24011.57</v>
      </c>
      <c r="Y5" s="17">
        <f>1521*I5</f>
        <v>23499.45</v>
      </c>
      <c r="Z5" s="8">
        <f>1702*I5</f>
        <v>26295.899999999998</v>
      </c>
      <c r="AA5" s="12">
        <f t="shared" si="6"/>
        <v>21610.413</v>
      </c>
      <c r="AB5" s="8">
        <f t="shared" si="7"/>
        <v>24011.57</v>
      </c>
      <c r="AC5" s="7">
        <f t="shared" si="8"/>
        <v>25212.1485</v>
      </c>
      <c r="AD5" s="9">
        <f t="shared" si="9"/>
        <v>24011.57</v>
      </c>
      <c r="AE5" s="8">
        <f t="shared" si="10"/>
        <v>24011.57</v>
      </c>
      <c r="AF5" s="8">
        <f t="shared" si="11"/>
        <v>22090.6444</v>
      </c>
      <c r="AG5" s="7">
        <f t="shared" si="12"/>
        <v>34763.274</v>
      </c>
      <c r="AH5" s="8">
        <f>1600*I5</f>
        <v>24720</v>
      </c>
      <c r="AI5" s="8">
        <f>1600*I5</f>
        <v>24720</v>
      </c>
      <c r="AJ5" s="7">
        <f t="shared" si="13"/>
        <v>25415.25</v>
      </c>
      <c r="AK5" s="8">
        <f t="shared" si="14"/>
        <v>24011.57</v>
      </c>
      <c r="AL5" s="8">
        <f t="shared" si="15"/>
        <v>26265</v>
      </c>
      <c r="AM5" s="3" t="s">
        <v>83</v>
      </c>
      <c r="AN5" s="3" t="s">
        <v>83</v>
      </c>
      <c r="AO5" s="3" t="s">
        <v>83</v>
      </c>
      <c r="AP5" s="8">
        <f>1529*I5</f>
        <v>23623.05</v>
      </c>
      <c r="AQ5" s="7" t="s">
        <v>83</v>
      </c>
      <c r="AR5" s="9">
        <f t="shared" si="16"/>
        <v>18447.3</v>
      </c>
      <c r="AS5" s="8">
        <f t="shared" si="17"/>
        <v>24011.57</v>
      </c>
      <c r="AT5" s="17">
        <f t="shared" si="28"/>
        <v>27933.6</v>
      </c>
      <c r="AU5" s="9">
        <f t="shared" si="29"/>
        <v>20292.030000000002</v>
      </c>
      <c r="AV5" s="8">
        <f t="shared" si="18"/>
        <v>24011.57</v>
      </c>
      <c r="AW5" s="4">
        <f>2075*I5</f>
        <v>32058.75</v>
      </c>
      <c r="AX5" s="8">
        <f>1610*I5</f>
        <v>24874.5</v>
      </c>
      <c r="AY5" s="14">
        <v>0</v>
      </c>
      <c r="AZ5" s="14">
        <v>0</v>
      </c>
      <c r="BA5" s="14">
        <v>0</v>
      </c>
      <c r="BB5" s="8">
        <f t="shared" si="30"/>
        <v>33990</v>
      </c>
      <c r="BC5" s="8">
        <f t="shared" si="31"/>
        <v>38625</v>
      </c>
      <c r="BD5" s="8">
        <f t="shared" si="32"/>
        <v>29355</v>
      </c>
      <c r="BE5" s="8">
        <f t="shared" si="19"/>
        <v>21243.75</v>
      </c>
      <c r="BF5" s="8">
        <f t="shared" si="20"/>
        <v>24011.57</v>
      </c>
      <c r="BG5" s="8">
        <f t="shared" si="21"/>
        <v>22810.9915</v>
      </c>
      <c r="BH5" s="14">
        <v>0</v>
      </c>
      <c r="BI5" s="14">
        <v>0</v>
      </c>
      <c r="BJ5" s="8">
        <f t="shared" si="22"/>
        <v>22810.9915</v>
      </c>
      <c r="BK5" s="9">
        <f t="shared" si="23"/>
        <v>24011.57</v>
      </c>
      <c r="BL5" s="17">
        <f t="shared" si="33"/>
        <v>32831.25</v>
      </c>
      <c r="BM5" s="8">
        <f t="shared" si="24"/>
        <v>24011.57</v>
      </c>
      <c r="BN5" s="8">
        <f>MIN(N5:BM5:BM5)</f>
        <v>0</v>
      </c>
      <c r="BO5" s="8">
        <f t="shared" si="25"/>
        <v>38625</v>
      </c>
    </row>
    <row r="6" spans="1:67" ht="19.5" customHeight="1">
      <c r="A6" s="10">
        <f t="shared" si="26"/>
        <v>5</v>
      </c>
      <c r="B6" s="11" t="s">
        <v>83</v>
      </c>
      <c r="C6" s="11" t="s">
        <v>378</v>
      </c>
      <c r="D6" s="30" t="s">
        <v>278</v>
      </c>
      <c r="E6" s="11" t="s">
        <v>121</v>
      </c>
      <c r="F6" s="42">
        <v>59271.09</v>
      </c>
      <c r="G6" s="11" t="s">
        <v>378</v>
      </c>
      <c r="H6" s="48">
        <v>0</v>
      </c>
      <c r="I6" s="57">
        <v>18</v>
      </c>
      <c r="J6" s="8">
        <f t="shared" si="0"/>
        <v>37237.200000000004</v>
      </c>
      <c r="K6" s="24" t="s">
        <v>381</v>
      </c>
      <c r="L6" s="17">
        <v>28644</v>
      </c>
      <c r="M6" s="8">
        <f t="shared" si="1"/>
        <v>21492</v>
      </c>
      <c r="N6" s="17">
        <f t="shared" si="27"/>
        <v>35742.6</v>
      </c>
      <c r="O6" s="8">
        <f t="shared" si="2"/>
        <v>28644</v>
      </c>
      <c r="P6" s="8">
        <f t="shared" si="34"/>
        <v>33462</v>
      </c>
      <c r="Q6" s="14">
        <v>0</v>
      </c>
      <c r="R6" s="14">
        <v>0</v>
      </c>
      <c r="S6" s="8">
        <f t="shared" si="3"/>
        <v>28644</v>
      </c>
      <c r="T6" s="21">
        <f>1888*I6</f>
        <v>33984</v>
      </c>
      <c r="U6" s="17">
        <f>1665*I6</f>
        <v>29970</v>
      </c>
      <c r="V6" s="3">
        <f t="shared" si="4"/>
        <v>28644</v>
      </c>
      <c r="W6" s="3" t="s">
        <v>83</v>
      </c>
      <c r="X6" s="8">
        <f t="shared" si="5"/>
        <v>28644</v>
      </c>
      <c r="Y6" s="17">
        <f>1554*I6</f>
        <v>27972</v>
      </c>
      <c r="Z6" s="8">
        <f>1851*I6</f>
        <v>33318</v>
      </c>
      <c r="AA6" s="12">
        <f t="shared" si="6"/>
        <v>25779.600000000002</v>
      </c>
      <c r="AB6" s="8">
        <f t="shared" si="7"/>
        <v>28644</v>
      </c>
      <c r="AC6" s="7">
        <f t="shared" si="8"/>
        <v>30076.2</v>
      </c>
      <c r="AD6" s="9">
        <f t="shared" si="9"/>
        <v>28644</v>
      </c>
      <c r="AE6" s="8">
        <f t="shared" si="10"/>
        <v>28644</v>
      </c>
      <c r="AF6" s="8">
        <f t="shared" si="11"/>
        <v>26352.48</v>
      </c>
      <c r="AG6" s="7">
        <f t="shared" si="12"/>
        <v>41489.76299999999</v>
      </c>
      <c r="AH6" s="8">
        <f>1600*16+1400*2</f>
        <v>28400</v>
      </c>
      <c r="AI6" s="8">
        <f>1600*16+1400*2</f>
        <v>28400</v>
      </c>
      <c r="AJ6" s="7">
        <f t="shared" si="13"/>
        <v>29610</v>
      </c>
      <c r="AK6" s="8">
        <f t="shared" si="14"/>
        <v>28644</v>
      </c>
      <c r="AL6" s="8">
        <f t="shared" si="15"/>
        <v>30600</v>
      </c>
      <c r="AM6" s="3" t="s">
        <v>83</v>
      </c>
      <c r="AN6" s="3" t="s">
        <v>83</v>
      </c>
      <c r="AO6" s="3" t="s">
        <v>83</v>
      </c>
      <c r="AP6" s="8">
        <f>1665*I6</f>
        <v>29970</v>
      </c>
      <c r="AQ6" s="7" t="s">
        <v>83</v>
      </c>
      <c r="AR6" s="9">
        <f t="shared" si="16"/>
        <v>21492</v>
      </c>
      <c r="AS6" s="8">
        <f t="shared" si="17"/>
        <v>28644</v>
      </c>
      <c r="AT6" s="17">
        <f t="shared" si="28"/>
        <v>32544</v>
      </c>
      <c r="AU6" s="9">
        <f t="shared" si="29"/>
        <v>23641.2</v>
      </c>
      <c r="AV6" s="8">
        <f t="shared" si="18"/>
        <v>28644</v>
      </c>
      <c r="AW6" s="4">
        <f>2300*I6</f>
        <v>41400</v>
      </c>
      <c r="AX6" s="8">
        <f>1730*I6</f>
        <v>31140</v>
      </c>
      <c r="AY6" s="14">
        <v>0</v>
      </c>
      <c r="AZ6" s="14">
        <v>0</v>
      </c>
      <c r="BA6" s="14">
        <v>0</v>
      </c>
      <c r="BB6" s="8">
        <f t="shared" si="30"/>
        <v>39600</v>
      </c>
      <c r="BC6" s="8">
        <f t="shared" si="31"/>
        <v>45000</v>
      </c>
      <c r="BD6" s="8">
        <f t="shared" si="32"/>
        <v>34200</v>
      </c>
      <c r="BE6" s="8">
        <f t="shared" si="19"/>
        <v>24750</v>
      </c>
      <c r="BF6" s="8">
        <f t="shared" si="20"/>
        <v>28644</v>
      </c>
      <c r="BG6" s="8">
        <f t="shared" si="21"/>
        <v>27211.8</v>
      </c>
      <c r="BH6" s="14">
        <v>0</v>
      </c>
      <c r="BI6" s="14">
        <v>0</v>
      </c>
      <c r="BJ6" s="8">
        <f t="shared" si="22"/>
        <v>27211.8</v>
      </c>
      <c r="BK6" s="9">
        <f t="shared" si="23"/>
        <v>28644</v>
      </c>
      <c r="BL6" s="17">
        <f t="shared" si="33"/>
        <v>38250</v>
      </c>
      <c r="BM6" s="8">
        <f t="shared" si="24"/>
        <v>28644</v>
      </c>
      <c r="BN6" s="8">
        <f>MIN(N6:BM6:BM6)</f>
        <v>0</v>
      </c>
      <c r="BO6" s="8">
        <f t="shared" si="25"/>
        <v>45000</v>
      </c>
    </row>
    <row r="7" spans="1:67" ht="19.5" customHeight="1">
      <c r="A7" s="10">
        <f t="shared" si="26"/>
        <v>6</v>
      </c>
      <c r="B7" s="11" t="s">
        <v>83</v>
      </c>
      <c r="C7" s="11" t="s">
        <v>378</v>
      </c>
      <c r="D7" s="30" t="s">
        <v>212</v>
      </c>
      <c r="E7" s="11" t="s">
        <v>121</v>
      </c>
      <c r="F7" s="42">
        <v>58878.1</v>
      </c>
      <c r="G7" s="11" t="s">
        <v>378</v>
      </c>
      <c r="H7" s="48">
        <v>0</v>
      </c>
      <c r="I7" s="57">
        <v>20.67</v>
      </c>
      <c r="J7" s="8">
        <f t="shared" si="0"/>
        <v>37900.161</v>
      </c>
      <c r="K7" s="24" t="s">
        <v>381</v>
      </c>
      <c r="L7" s="17">
        <v>29153.97</v>
      </c>
      <c r="M7" s="8">
        <f t="shared" si="1"/>
        <v>24679.980000000003</v>
      </c>
      <c r="N7" s="17">
        <f t="shared" si="27"/>
        <v>41044.419</v>
      </c>
      <c r="O7" s="8">
        <f t="shared" si="2"/>
        <v>29153.97</v>
      </c>
      <c r="P7" s="8">
        <f t="shared" si="34"/>
        <v>38425.530000000006</v>
      </c>
      <c r="Q7" s="14">
        <v>0</v>
      </c>
      <c r="R7" s="14">
        <v>0</v>
      </c>
      <c r="S7" s="8">
        <f t="shared" si="3"/>
        <v>29153.97</v>
      </c>
      <c r="T7" s="21">
        <f>1888*I7</f>
        <v>39024.96000000001</v>
      </c>
      <c r="U7" s="17">
        <f>1665*I7</f>
        <v>34415.55</v>
      </c>
      <c r="V7" s="3">
        <f t="shared" si="4"/>
        <v>29153.97</v>
      </c>
      <c r="W7" s="3" t="s">
        <v>83</v>
      </c>
      <c r="X7" s="8">
        <f t="shared" si="5"/>
        <v>29153.97</v>
      </c>
      <c r="Y7" s="17">
        <f>1554*I7</f>
        <v>32121.180000000004</v>
      </c>
      <c r="Z7" s="8">
        <f>1851*I7</f>
        <v>38260.170000000006</v>
      </c>
      <c r="AA7" s="12">
        <f t="shared" si="6"/>
        <v>26238.573</v>
      </c>
      <c r="AB7" s="8">
        <f t="shared" si="7"/>
        <v>29153.97</v>
      </c>
      <c r="AC7" s="7">
        <f t="shared" si="8"/>
        <v>30611.668500000003</v>
      </c>
      <c r="AD7" s="9">
        <f t="shared" si="9"/>
        <v>29153.97</v>
      </c>
      <c r="AE7" s="8">
        <f t="shared" si="10"/>
        <v>29153.97</v>
      </c>
      <c r="AF7" s="8">
        <f t="shared" si="11"/>
        <v>26821.652400000003</v>
      </c>
      <c r="AG7" s="7">
        <f t="shared" si="12"/>
        <v>41214.67</v>
      </c>
      <c r="AH7" s="8">
        <f>1600*16+1400*5</f>
        <v>32600</v>
      </c>
      <c r="AI7" s="8">
        <f>1600*16+1400*5</f>
        <v>32600</v>
      </c>
      <c r="AJ7" s="7">
        <f t="shared" si="13"/>
        <v>34002.15</v>
      </c>
      <c r="AK7" s="8">
        <f t="shared" si="14"/>
        <v>29153.97</v>
      </c>
      <c r="AL7" s="8">
        <f t="shared" si="15"/>
        <v>35139</v>
      </c>
      <c r="AM7" s="3" t="s">
        <v>83</v>
      </c>
      <c r="AN7" s="3" t="s">
        <v>83</v>
      </c>
      <c r="AO7" s="3" t="s">
        <v>83</v>
      </c>
      <c r="AP7" s="8">
        <f>1665*I7</f>
        <v>34415.55</v>
      </c>
      <c r="AQ7" s="7" t="s">
        <v>83</v>
      </c>
      <c r="AR7" s="9">
        <f t="shared" si="16"/>
        <v>24679.980000000003</v>
      </c>
      <c r="AS7" s="8">
        <f t="shared" si="17"/>
        <v>29153.97</v>
      </c>
      <c r="AT7" s="17">
        <f t="shared" si="28"/>
        <v>37371.36</v>
      </c>
      <c r="AU7" s="9">
        <f t="shared" si="29"/>
        <v>27147.978000000006</v>
      </c>
      <c r="AV7" s="8">
        <f t="shared" si="18"/>
        <v>29153.97</v>
      </c>
      <c r="AW7" s="4">
        <f>2300*I7</f>
        <v>47541.00000000001</v>
      </c>
      <c r="AX7" s="8">
        <f>1730*I7</f>
        <v>35759.100000000006</v>
      </c>
      <c r="AY7" s="14">
        <v>0</v>
      </c>
      <c r="AZ7" s="14">
        <v>0</v>
      </c>
      <c r="BA7" s="14">
        <v>0</v>
      </c>
      <c r="BB7" s="8">
        <f t="shared" si="30"/>
        <v>45474.00000000001</v>
      </c>
      <c r="BC7" s="8">
        <f t="shared" si="31"/>
        <v>51675.00000000001</v>
      </c>
      <c r="BD7" s="8">
        <f t="shared" si="32"/>
        <v>39273</v>
      </c>
      <c r="BE7" s="8">
        <f t="shared" si="19"/>
        <v>28421.250000000004</v>
      </c>
      <c r="BF7" s="8">
        <f t="shared" si="20"/>
        <v>29153.97</v>
      </c>
      <c r="BG7" s="8">
        <f t="shared" si="21"/>
        <v>27696.2715</v>
      </c>
      <c r="BH7" s="14">
        <v>0</v>
      </c>
      <c r="BI7" s="14">
        <v>0</v>
      </c>
      <c r="BJ7" s="8">
        <f t="shared" si="22"/>
        <v>27696.2715</v>
      </c>
      <c r="BK7" s="9">
        <f t="shared" si="23"/>
        <v>29153.97</v>
      </c>
      <c r="BL7" s="17">
        <f t="shared" si="33"/>
        <v>43923.75</v>
      </c>
      <c r="BM7" s="8">
        <f t="shared" si="24"/>
        <v>29153.97</v>
      </c>
      <c r="BN7" s="8">
        <f>MIN(N7:BM7:BM7)</f>
        <v>0</v>
      </c>
      <c r="BO7" s="8">
        <f t="shared" si="25"/>
        <v>51675.00000000001</v>
      </c>
    </row>
    <row r="8" spans="1:67" ht="19.5" customHeight="1">
      <c r="A8" s="10">
        <f t="shared" si="26"/>
        <v>7</v>
      </c>
      <c r="B8" s="11" t="s">
        <v>83</v>
      </c>
      <c r="C8" s="11" t="s">
        <v>378</v>
      </c>
      <c r="D8" s="30" t="s">
        <v>279</v>
      </c>
      <c r="E8" s="11" t="s">
        <v>121</v>
      </c>
      <c r="F8" s="42">
        <v>40826.2</v>
      </c>
      <c r="G8" s="11" t="s">
        <v>378</v>
      </c>
      <c r="H8" s="48">
        <v>0</v>
      </c>
      <c r="I8" s="57">
        <v>16.27</v>
      </c>
      <c r="J8" s="8">
        <f t="shared" si="0"/>
        <v>34441.069</v>
      </c>
      <c r="K8" s="24" t="s">
        <v>381</v>
      </c>
      <c r="L8" s="17">
        <v>26493.13</v>
      </c>
      <c r="M8" s="8">
        <f t="shared" si="1"/>
        <v>19426.38</v>
      </c>
      <c r="N8" s="17">
        <f t="shared" si="27"/>
        <v>32307.339</v>
      </c>
      <c r="O8" s="8">
        <f t="shared" si="2"/>
        <v>26493.13</v>
      </c>
      <c r="P8" s="8">
        <f t="shared" si="34"/>
        <v>30245.93</v>
      </c>
      <c r="Q8" s="14">
        <v>0</v>
      </c>
      <c r="R8" s="14">
        <v>0</v>
      </c>
      <c r="S8" s="8">
        <f t="shared" si="3"/>
        <v>26493.13</v>
      </c>
      <c r="T8" s="21">
        <f>1888*I8</f>
        <v>30717.76</v>
      </c>
      <c r="U8" s="17">
        <f>1665*I8</f>
        <v>27089.55</v>
      </c>
      <c r="V8" s="3">
        <f t="shared" si="4"/>
        <v>26493.13</v>
      </c>
      <c r="W8" s="3" t="s">
        <v>83</v>
      </c>
      <c r="X8" s="8">
        <f t="shared" si="5"/>
        <v>26493.13</v>
      </c>
      <c r="Y8" s="17">
        <f>1554*I8</f>
        <v>25283.579999999998</v>
      </c>
      <c r="Z8" s="8">
        <f>1851*I8</f>
        <v>30115.77</v>
      </c>
      <c r="AA8" s="12">
        <f t="shared" si="6"/>
        <v>23843.817000000003</v>
      </c>
      <c r="AB8" s="8">
        <f t="shared" si="7"/>
        <v>26493.13</v>
      </c>
      <c r="AC8" s="7">
        <f t="shared" si="8"/>
        <v>27817.786500000002</v>
      </c>
      <c r="AD8" s="9">
        <f t="shared" si="9"/>
        <v>26493.13</v>
      </c>
      <c r="AE8" s="8">
        <f t="shared" si="10"/>
        <v>26493.13</v>
      </c>
      <c r="AF8" s="8">
        <f t="shared" si="11"/>
        <v>24373.679600000003</v>
      </c>
      <c r="AG8" s="7">
        <f t="shared" si="12"/>
        <v>28578.339999999997</v>
      </c>
      <c r="AH8" s="8">
        <f aca="true" t="shared" si="35" ref="AH8:AH18">1600*I8</f>
        <v>26032</v>
      </c>
      <c r="AI8" s="8">
        <f aca="true" t="shared" si="36" ref="AI8:AI18">1600*I8</f>
        <v>26032</v>
      </c>
      <c r="AJ8" s="7">
        <f t="shared" si="13"/>
        <v>26764.149999999998</v>
      </c>
      <c r="AK8" s="8">
        <f t="shared" si="14"/>
        <v>26493.13</v>
      </c>
      <c r="AL8" s="8">
        <f t="shared" si="15"/>
        <v>27659</v>
      </c>
      <c r="AM8" s="3" t="s">
        <v>83</v>
      </c>
      <c r="AN8" s="3" t="s">
        <v>83</v>
      </c>
      <c r="AO8" s="3" t="s">
        <v>83</v>
      </c>
      <c r="AP8" s="8">
        <f>1665*I8</f>
        <v>27089.55</v>
      </c>
      <c r="AQ8" s="7" t="s">
        <v>83</v>
      </c>
      <c r="AR8" s="9">
        <f t="shared" si="16"/>
        <v>19426.38</v>
      </c>
      <c r="AS8" s="8">
        <f t="shared" si="17"/>
        <v>26493.13</v>
      </c>
      <c r="AT8" s="17">
        <f t="shared" si="28"/>
        <v>29416.16</v>
      </c>
      <c r="AU8" s="9">
        <f t="shared" si="29"/>
        <v>21369.018000000004</v>
      </c>
      <c r="AV8" s="8">
        <f t="shared" si="18"/>
        <v>26493.13</v>
      </c>
      <c r="AW8" s="4">
        <f>2300*I8</f>
        <v>37421</v>
      </c>
      <c r="AX8" s="8">
        <f>1730*I8</f>
        <v>28147.1</v>
      </c>
      <c r="AY8" s="14">
        <v>0</v>
      </c>
      <c r="AZ8" s="14">
        <v>0</v>
      </c>
      <c r="BA8" s="14">
        <v>0</v>
      </c>
      <c r="BB8" s="8">
        <f t="shared" si="30"/>
        <v>35794</v>
      </c>
      <c r="BC8" s="8">
        <f t="shared" si="31"/>
        <v>40675</v>
      </c>
      <c r="BD8" s="8">
        <f t="shared" si="32"/>
        <v>30913</v>
      </c>
      <c r="BE8" s="8">
        <f t="shared" si="19"/>
        <v>22371.25</v>
      </c>
      <c r="BF8" s="8">
        <f t="shared" si="20"/>
        <v>26493.13</v>
      </c>
      <c r="BG8" s="8">
        <f t="shared" si="21"/>
        <v>25168.4735</v>
      </c>
      <c r="BH8" s="14">
        <v>0</v>
      </c>
      <c r="BI8" s="14">
        <v>0</v>
      </c>
      <c r="BJ8" s="8">
        <f t="shared" si="22"/>
        <v>25168.4735</v>
      </c>
      <c r="BK8" s="9">
        <f t="shared" si="23"/>
        <v>26493.13</v>
      </c>
      <c r="BL8" s="17">
        <f t="shared" si="33"/>
        <v>34573.75</v>
      </c>
      <c r="BM8" s="8">
        <f t="shared" si="24"/>
        <v>26493.13</v>
      </c>
      <c r="BN8" s="8">
        <f>MIN(N8:BM8:BM8)</f>
        <v>0</v>
      </c>
      <c r="BO8" s="8">
        <f t="shared" si="25"/>
        <v>40675</v>
      </c>
    </row>
    <row r="9" spans="1:67" ht="19.5" customHeight="1">
      <c r="A9" s="10">
        <f t="shared" si="26"/>
        <v>8</v>
      </c>
      <c r="B9" s="11" t="s">
        <v>83</v>
      </c>
      <c r="C9" s="11" t="s">
        <v>378</v>
      </c>
      <c r="D9" s="30" t="s">
        <v>213</v>
      </c>
      <c r="E9" s="11" t="s">
        <v>121</v>
      </c>
      <c r="F9" s="42">
        <v>44946.21</v>
      </c>
      <c r="G9" s="11" t="s">
        <v>378</v>
      </c>
      <c r="H9" s="48">
        <v>0</v>
      </c>
      <c r="I9" s="57">
        <v>12.28</v>
      </c>
      <c r="J9" s="8">
        <f t="shared" si="0"/>
        <v>28808.247</v>
      </c>
      <c r="K9" s="24" t="s">
        <v>381</v>
      </c>
      <c r="L9" s="17">
        <v>22160.19</v>
      </c>
      <c r="M9" s="8">
        <f t="shared" si="1"/>
        <v>14662.32</v>
      </c>
      <c r="N9" s="17">
        <f t="shared" si="27"/>
        <v>24384.396</v>
      </c>
      <c r="O9" s="8">
        <f t="shared" si="2"/>
        <v>22160.19</v>
      </c>
      <c r="P9" s="8">
        <f t="shared" si="34"/>
        <v>22828.52</v>
      </c>
      <c r="Q9" s="14">
        <v>0</v>
      </c>
      <c r="R9" s="14">
        <v>0</v>
      </c>
      <c r="S9" s="8">
        <f t="shared" si="3"/>
        <v>22160.19</v>
      </c>
      <c r="T9" s="21">
        <f aca="true" t="shared" si="37" ref="T9:T19">1695*I9</f>
        <v>20814.6</v>
      </c>
      <c r="U9" s="17">
        <f aca="true" t="shared" si="38" ref="U9:U19">1548*I9</f>
        <v>19009.44</v>
      </c>
      <c r="V9" s="3">
        <f t="shared" si="4"/>
        <v>22160.19</v>
      </c>
      <c r="W9" s="3" t="s">
        <v>83</v>
      </c>
      <c r="X9" s="8">
        <f t="shared" si="5"/>
        <v>22160.19</v>
      </c>
      <c r="Y9" s="17">
        <f aca="true" t="shared" si="39" ref="Y9:Y19">1521*I9</f>
        <v>18677.879999999997</v>
      </c>
      <c r="Z9" s="8">
        <f aca="true" t="shared" si="40" ref="Z9:Z19">1702*I9</f>
        <v>20900.559999999998</v>
      </c>
      <c r="AA9" s="12">
        <f t="shared" si="6"/>
        <v>19944.171</v>
      </c>
      <c r="AB9" s="8">
        <f t="shared" si="7"/>
        <v>22160.19</v>
      </c>
      <c r="AC9" s="7">
        <f t="shared" si="8"/>
        <v>23268.1995</v>
      </c>
      <c r="AD9" s="9">
        <f t="shared" si="9"/>
        <v>22160.19</v>
      </c>
      <c r="AE9" s="8">
        <f t="shared" si="10"/>
        <v>22160.19</v>
      </c>
      <c r="AF9" s="8">
        <f t="shared" si="11"/>
        <v>20387.3748</v>
      </c>
      <c r="AG9" s="7">
        <f t="shared" si="12"/>
        <v>31462.346999999998</v>
      </c>
      <c r="AH9" s="8">
        <f t="shared" si="35"/>
        <v>19648</v>
      </c>
      <c r="AI9" s="8">
        <f t="shared" si="36"/>
        <v>19648</v>
      </c>
      <c r="AJ9" s="7">
        <f t="shared" si="13"/>
        <v>20200.6</v>
      </c>
      <c r="AK9" s="8">
        <f t="shared" si="14"/>
        <v>22160.19</v>
      </c>
      <c r="AL9" s="8">
        <f t="shared" si="15"/>
        <v>20876</v>
      </c>
      <c r="AM9" s="3" t="s">
        <v>83</v>
      </c>
      <c r="AN9" s="3" t="s">
        <v>83</v>
      </c>
      <c r="AO9" s="3" t="s">
        <v>83</v>
      </c>
      <c r="AP9" s="8">
        <f aca="true" t="shared" si="41" ref="AP9:AP19">1529*I9</f>
        <v>18776.12</v>
      </c>
      <c r="AQ9" s="7" t="s">
        <v>83</v>
      </c>
      <c r="AR9" s="9">
        <f t="shared" si="16"/>
        <v>14662.32</v>
      </c>
      <c r="AS9" s="8">
        <f t="shared" si="17"/>
        <v>22160.19</v>
      </c>
      <c r="AT9" s="17">
        <f t="shared" si="28"/>
        <v>22202.239999999998</v>
      </c>
      <c r="AU9" s="9">
        <f t="shared" si="29"/>
        <v>16128.552000000001</v>
      </c>
      <c r="AV9" s="8">
        <f t="shared" si="18"/>
        <v>22160.19</v>
      </c>
      <c r="AW9" s="4">
        <f aca="true" t="shared" si="42" ref="AW9:AW19">2075*I9</f>
        <v>25481</v>
      </c>
      <c r="AX9" s="8">
        <f aca="true" t="shared" si="43" ref="AX9:AX19">1610*I9</f>
        <v>19770.8</v>
      </c>
      <c r="AY9" s="14">
        <v>0</v>
      </c>
      <c r="AZ9" s="14">
        <v>0</v>
      </c>
      <c r="BA9" s="14">
        <v>0</v>
      </c>
      <c r="BB9" s="8">
        <f t="shared" si="30"/>
        <v>27016</v>
      </c>
      <c r="BC9" s="8">
        <f t="shared" si="31"/>
        <v>30700</v>
      </c>
      <c r="BD9" s="8">
        <f t="shared" si="32"/>
        <v>23332</v>
      </c>
      <c r="BE9" s="8">
        <f t="shared" si="19"/>
        <v>16885</v>
      </c>
      <c r="BF9" s="8">
        <f t="shared" si="20"/>
        <v>22160.19</v>
      </c>
      <c r="BG9" s="8">
        <f t="shared" si="21"/>
        <v>21052.1805</v>
      </c>
      <c r="BH9" s="14">
        <v>0</v>
      </c>
      <c r="BI9" s="14">
        <v>0</v>
      </c>
      <c r="BJ9" s="8">
        <f t="shared" si="22"/>
        <v>21052.1805</v>
      </c>
      <c r="BK9" s="9">
        <f t="shared" si="23"/>
        <v>22160.19</v>
      </c>
      <c r="BL9" s="17">
        <f t="shared" si="33"/>
        <v>26095</v>
      </c>
      <c r="BM9" s="8">
        <f t="shared" si="24"/>
        <v>22160.19</v>
      </c>
      <c r="BN9" s="8">
        <f>MIN(N9:BM9:BM9)</f>
        <v>0</v>
      </c>
      <c r="BO9" s="8">
        <f t="shared" si="25"/>
        <v>31462.346999999998</v>
      </c>
    </row>
    <row r="10" spans="1:67" ht="19.5" customHeight="1">
      <c r="A10" s="10">
        <f aca="true" t="shared" si="44" ref="A10:A73">A9+1</f>
        <v>9</v>
      </c>
      <c r="B10" s="11" t="s">
        <v>83</v>
      </c>
      <c r="C10" s="11" t="s">
        <v>378</v>
      </c>
      <c r="D10" s="30" t="s">
        <v>214</v>
      </c>
      <c r="E10" s="11" t="s">
        <v>121</v>
      </c>
      <c r="F10" s="42">
        <v>65966.21</v>
      </c>
      <c r="G10" s="11" t="s">
        <v>378</v>
      </c>
      <c r="H10" s="48">
        <v>0</v>
      </c>
      <c r="I10" s="57">
        <v>14.63</v>
      </c>
      <c r="J10" s="8">
        <f t="shared" si="0"/>
        <v>35831.224</v>
      </c>
      <c r="K10" s="24" t="s">
        <v>381</v>
      </c>
      <c r="L10" s="17">
        <v>27562.48</v>
      </c>
      <c r="M10" s="8">
        <f t="shared" si="1"/>
        <v>17468.22</v>
      </c>
      <c r="N10" s="17">
        <f t="shared" si="27"/>
        <v>29050.791</v>
      </c>
      <c r="O10" s="8">
        <f t="shared" si="2"/>
        <v>27562.48</v>
      </c>
      <c r="P10" s="8">
        <f t="shared" si="34"/>
        <v>27197.170000000002</v>
      </c>
      <c r="Q10" s="14">
        <v>0</v>
      </c>
      <c r="R10" s="14">
        <v>0</v>
      </c>
      <c r="S10" s="8">
        <f t="shared" si="3"/>
        <v>27562.48</v>
      </c>
      <c r="T10" s="21">
        <f t="shared" si="37"/>
        <v>24797.850000000002</v>
      </c>
      <c r="U10" s="17">
        <f t="shared" si="38"/>
        <v>22647.24</v>
      </c>
      <c r="V10" s="3">
        <f t="shared" si="4"/>
        <v>27562.48</v>
      </c>
      <c r="W10" s="3" t="s">
        <v>83</v>
      </c>
      <c r="X10" s="8">
        <f t="shared" si="5"/>
        <v>27562.48</v>
      </c>
      <c r="Y10" s="17">
        <f t="shared" si="39"/>
        <v>22252.23</v>
      </c>
      <c r="Z10" s="8">
        <f t="shared" si="40"/>
        <v>24900.260000000002</v>
      </c>
      <c r="AA10" s="12">
        <f t="shared" si="6"/>
        <v>24806.232</v>
      </c>
      <c r="AB10" s="8">
        <f t="shared" si="7"/>
        <v>27562.48</v>
      </c>
      <c r="AC10" s="7">
        <f t="shared" si="8"/>
        <v>28940.604</v>
      </c>
      <c r="AD10" s="9">
        <f t="shared" si="9"/>
        <v>27562.48</v>
      </c>
      <c r="AE10" s="8">
        <f t="shared" si="10"/>
        <v>27562.48</v>
      </c>
      <c r="AF10" s="8">
        <f t="shared" si="11"/>
        <v>25357.4816</v>
      </c>
      <c r="AG10" s="7">
        <f t="shared" si="12"/>
        <v>46176.347</v>
      </c>
      <c r="AH10" s="8">
        <f t="shared" si="35"/>
        <v>23408</v>
      </c>
      <c r="AI10" s="8">
        <f t="shared" si="36"/>
        <v>23408</v>
      </c>
      <c r="AJ10" s="7">
        <f t="shared" si="13"/>
        <v>24066.350000000002</v>
      </c>
      <c r="AK10" s="8">
        <f t="shared" si="14"/>
        <v>27562.48</v>
      </c>
      <c r="AL10" s="8">
        <f t="shared" si="15"/>
        <v>24871</v>
      </c>
      <c r="AM10" s="3" t="s">
        <v>83</v>
      </c>
      <c r="AN10" s="3" t="s">
        <v>83</v>
      </c>
      <c r="AO10" s="3" t="s">
        <v>83</v>
      </c>
      <c r="AP10" s="8">
        <f t="shared" si="41"/>
        <v>22369.27</v>
      </c>
      <c r="AQ10" s="7" t="s">
        <v>83</v>
      </c>
      <c r="AR10" s="9">
        <f t="shared" si="16"/>
        <v>17468.22</v>
      </c>
      <c r="AS10" s="8">
        <f t="shared" si="17"/>
        <v>27562.48</v>
      </c>
      <c r="AT10" s="17">
        <f t="shared" si="28"/>
        <v>26451.04</v>
      </c>
      <c r="AU10" s="9">
        <f t="shared" si="29"/>
        <v>19215.042</v>
      </c>
      <c r="AV10" s="8">
        <f t="shared" si="18"/>
        <v>27562.48</v>
      </c>
      <c r="AW10" s="4">
        <f t="shared" si="42"/>
        <v>30357.25</v>
      </c>
      <c r="AX10" s="8">
        <f t="shared" si="43"/>
        <v>23554.300000000003</v>
      </c>
      <c r="AY10" s="14">
        <v>0</v>
      </c>
      <c r="AZ10" s="14">
        <v>0</v>
      </c>
      <c r="BA10" s="14">
        <v>0</v>
      </c>
      <c r="BB10" s="8">
        <f t="shared" si="30"/>
        <v>32186</v>
      </c>
      <c r="BC10" s="8">
        <f t="shared" si="31"/>
        <v>36575</v>
      </c>
      <c r="BD10" s="8">
        <f t="shared" si="32"/>
        <v>27797</v>
      </c>
      <c r="BE10" s="8">
        <f t="shared" si="19"/>
        <v>20116.25</v>
      </c>
      <c r="BF10" s="8">
        <f t="shared" si="20"/>
        <v>27562.48</v>
      </c>
      <c r="BG10" s="8">
        <f t="shared" si="21"/>
        <v>26184.356</v>
      </c>
      <c r="BH10" s="14">
        <v>0</v>
      </c>
      <c r="BI10" s="14">
        <v>0</v>
      </c>
      <c r="BJ10" s="8">
        <f t="shared" si="22"/>
        <v>26184.356</v>
      </c>
      <c r="BK10" s="9">
        <f t="shared" si="23"/>
        <v>27562.48</v>
      </c>
      <c r="BL10" s="17">
        <f t="shared" si="33"/>
        <v>31088.75</v>
      </c>
      <c r="BM10" s="8">
        <f t="shared" si="24"/>
        <v>27562.48</v>
      </c>
      <c r="BN10" s="8">
        <f>MIN(N10:BM10:BM10)</f>
        <v>0</v>
      </c>
      <c r="BO10" s="8">
        <f t="shared" si="25"/>
        <v>46176.347</v>
      </c>
    </row>
    <row r="11" spans="1:67" ht="19.5" customHeight="1">
      <c r="A11" s="10">
        <f t="shared" si="44"/>
        <v>10</v>
      </c>
      <c r="B11" s="11" t="s">
        <v>83</v>
      </c>
      <c r="C11" s="11" t="s">
        <v>378</v>
      </c>
      <c r="D11" s="30" t="s">
        <v>286</v>
      </c>
      <c r="E11" s="11" t="s">
        <v>121</v>
      </c>
      <c r="F11" s="42">
        <v>51612.78</v>
      </c>
      <c r="G11" s="11" t="s">
        <v>378</v>
      </c>
      <c r="H11" s="48">
        <v>0</v>
      </c>
      <c r="I11" s="57">
        <v>14.66</v>
      </c>
      <c r="J11" s="8">
        <f t="shared" si="0"/>
        <v>33096.700000000004</v>
      </c>
      <c r="K11" s="24" t="s">
        <v>381</v>
      </c>
      <c r="L11" s="17">
        <v>25459</v>
      </c>
      <c r="M11" s="8">
        <f t="shared" si="1"/>
        <v>17504.04</v>
      </c>
      <c r="N11" s="17">
        <f t="shared" si="27"/>
        <v>29110.362</v>
      </c>
      <c r="O11" s="8">
        <f t="shared" si="2"/>
        <v>25459</v>
      </c>
      <c r="P11" s="8">
        <f t="shared" si="34"/>
        <v>27252.94</v>
      </c>
      <c r="Q11" s="14">
        <v>0</v>
      </c>
      <c r="R11" s="14">
        <v>0</v>
      </c>
      <c r="S11" s="8">
        <f t="shared" si="3"/>
        <v>25459</v>
      </c>
      <c r="T11" s="21">
        <f t="shared" si="37"/>
        <v>24848.7</v>
      </c>
      <c r="U11" s="17">
        <f t="shared" si="38"/>
        <v>22693.68</v>
      </c>
      <c r="V11" s="3">
        <f t="shared" si="4"/>
        <v>25459</v>
      </c>
      <c r="W11" s="3" t="s">
        <v>83</v>
      </c>
      <c r="X11" s="8">
        <f t="shared" si="5"/>
        <v>25459</v>
      </c>
      <c r="Y11" s="17">
        <f t="shared" si="39"/>
        <v>22297.86</v>
      </c>
      <c r="Z11" s="8">
        <f t="shared" si="40"/>
        <v>24951.32</v>
      </c>
      <c r="AA11" s="12">
        <f t="shared" si="6"/>
        <v>22913.100000000002</v>
      </c>
      <c r="AB11" s="8">
        <f t="shared" si="7"/>
        <v>25459</v>
      </c>
      <c r="AC11" s="7">
        <f t="shared" si="8"/>
        <v>26731.95</v>
      </c>
      <c r="AD11" s="9">
        <f t="shared" si="9"/>
        <v>25459</v>
      </c>
      <c r="AE11" s="8">
        <f t="shared" si="10"/>
        <v>25459</v>
      </c>
      <c r="AF11" s="8">
        <f t="shared" si="11"/>
        <v>23422.280000000002</v>
      </c>
      <c r="AG11" s="7">
        <f t="shared" si="12"/>
        <v>36128.945999999996</v>
      </c>
      <c r="AH11" s="8">
        <f t="shared" si="35"/>
        <v>23456</v>
      </c>
      <c r="AI11" s="8">
        <f t="shared" si="36"/>
        <v>23456</v>
      </c>
      <c r="AJ11" s="7">
        <f t="shared" si="13"/>
        <v>24115.7</v>
      </c>
      <c r="AK11" s="8">
        <f t="shared" si="14"/>
        <v>25459</v>
      </c>
      <c r="AL11" s="8">
        <f t="shared" si="15"/>
        <v>24922</v>
      </c>
      <c r="AM11" s="3" t="s">
        <v>83</v>
      </c>
      <c r="AN11" s="3" t="s">
        <v>83</v>
      </c>
      <c r="AO11" s="3" t="s">
        <v>83</v>
      </c>
      <c r="AP11" s="8">
        <f t="shared" si="41"/>
        <v>22415.14</v>
      </c>
      <c r="AQ11" s="7" t="s">
        <v>83</v>
      </c>
      <c r="AR11" s="9">
        <f t="shared" si="16"/>
        <v>17504.04</v>
      </c>
      <c r="AS11" s="8">
        <f t="shared" si="17"/>
        <v>25459</v>
      </c>
      <c r="AT11" s="17">
        <f t="shared" si="28"/>
        <v>26505.28</v>
      </c>
      <c r="AU11" s="9">
        <f t="shared" si="29"/>
        <v>19254.444000000003</v>
      </c>
      <c r="AV11" s="8">
        <f t="shared" si="18"/>
        <v>25459</v>
      </c>
      <c r="AW11" s="4">
        <f t="shared" si="42"/>
        <v>30419.5</v>
      </c>
      <c r="AX11" s="8">
        <f t="shared" si="43"/>
        <v>23602.6</v>
      </c>
      <c r="AY11" s="14">
        <v>0</v>
      </c>
      <c r="AZ11" s="14">
        <v>0</v>
      </c>
      <c r="BA11" s="14">
        <v>0</v>
      </c>
      <c r="BB11" s="8">
        <f t="shared" si="30"/>
        <v>32252</v>
      </c>
      <c r="BC11" s="8">
        <f t="shared" si="31"/>
        <v>36650</v>
      </c>
      <c r="BD11" s="8">
        <f t="shared" si="32"/>
        <v>27854</v>
      </c>
      <c r="BE11" s="8">
        <f t="shared" si="19"/>
        <v>20157.5</v>
      </c>
      <c r="BF11" s="8">
        <f t="shared" si="20"/>
        <v>25459</v>
      </c>
      <c r="BG11" s="8">
        <f t="shared" si="21"/>
        <v>24186.05</v>
      </c>
      <c r="BH11" s="14">
        <v>0</v>
      </c>
      <c r="BI11" s="14">
        <v>0</v>
      </c>
      <c r="BJ11" s="8">
        <f t="shared" si="22"/>
        <v>24186.05</v>
      </c>
      <c r="BK11" s="9">
        <f t="shared" si="23"/>
        <v>25459</v>
      </c>
      <c r="BL11" s="17">
        <f t="shared" si="33"/>
        <v>31152.5</v>
      </c>
      <c r="BM11" s="8">
        <f t="shared" si="24"/>
        <v>25459</v>
      </c>
      <c r="BN11" s="8">
        <f>MIN(N11:BM11:BM11)</f>
        <v>0</v>
      </c>
      <c r="BO11" s="8">
        <f t="shared" si="25"/>
        <v>36650</v>
      </c>
    </row>
    <row r="12" spans="1:67" ht="19.5" customHeight="1">
      <c r="A12" s="10">
        <f t="shared" si="44"/>
        <v>11</v>
      </c>
      <c r="B12" s="11" t="s">
        <v>83</v>
      </c>
      <c r="C12" s="11" t="s">
        <v>378</v>
      </c>
      <c r="D12" s="30" t="s">
        <v>215</v>
      </c>
      <c r="E12" s="11" t="s">
        <v>121</v>
      </c>
      <c r="F12" s="42">
        <v>43823.7</v>
      </c>
      <c r="G12" s="11" t="s">
        <v>378</v>
      </c>
      <c r="H12" s="48">
        <v>0</v>
      </c>
      <c r="I12" s="57">
        <v>12.67</v>
      </c>
      <c r="J12" s="8">
        <f t="shared" si="0"/>
        <v>29759.600000000002</v>
      </c>
      <c r="K12" s="24" t="s">
        <v>381</v>
      </c>
      <c r="L12" s="17">
        <v>22892</v>
      </c>
      <c r="M12" s="8">
        <f t="shared" si="1"/>
        <v>15127.98</v>
      </c>
      <c r="N12" s="17">
        <f t="shared" si="27"/>
        <v>25158.819</v>
      </c>
      <c r="O12" s="8">
        <f t="shared" si="2"/>
        <v>22892</v>
      </c>
      <c r="P12" s="8">
        <f t="shared" si="34"/>
        <v>23553.53</v>
      </c>
      <c r="Q12" s="14">
        <v>0</v>
      </c>
      <c r="R12" s="14">
        <v>0</v>
      </c>
      <c r="S12" s="8">
        <f t="shared" si="3"/>
        <v>22892</v>
      </c>
      <c r="T12" s="21">
        <f t="shared" si="37"/>
        <v>21475.65</v>
      </c>
      <c r="U12" s="17">
        <f t="shared" si="38"/>
        <v>19613.16</v>
      </c>
      <c r="V12" s="3">
        <f t="shared" si="4"/>
        <v>22892</v>
      </c>
      <c r="W12" s="3" t="s">
        <v>83</v>
      </c>
      <c r="X12" s="8">
        <f t="shared" si="5"/>
        <v>22892</v>
      </c>
      <c r="Y12" s="17">
        <f t="shared" si="39"/>
        <v>19271.07</v>
      </c>
      <c r="Z12" s="8">
        <f t="shared" si="40"/>
        <v>21564.34</v>
      </c>
      <c r="AA12" s="12">
        <f t="shared" si="6"/>
        <v>20602.8</v>
      </c>
      <c r="AB12" s="8">
        <f t="shared" si="7"/>
        <v>22892</v>
      </c>
      <c r="AC12" s="7">
        <f t="shared" si="8"/>
        <v>24036.600000000002</v>
      </c>
      <c r="AD12" s="9">
        <f t="shared" si="9"/>
        <v>22892</v>
      </c>
      <c r="AE12" s="8">
        <f t="shared" si="10"/>
        <v>22892</v>
      </c>
      <c r="AF12" s="8">
        <f t="shared" si="11"/>
        <v>21060.64</v>
      </c>
      <c r="AG12" s="7">
        <f t="shared" si="12"/>
        <v>30676.589999999997</v>
      </c>
      <c r="AH12" s="8">
        <f t="shared" si="35"/>
        <v>20272</v>
      </c>
      <c r="AI12" s="8">
        <f t="shared" si="36"/>
        <v>20272</v>
      </c>
      <c r="AJ12" s="7">
        <f t="shared" si="13"/>
        <v>20842.15</v>
      </c>
      <c r="AK12" s="8">
        <f t="shared" si="14"/>
        <v>22892</v>
      </c>
      <c r="AL12" s="8">
        <f t="shared" si="15"/>
        <v>21539</v>
      </c>
      <c r="AM12" s="3" t="s">
        <v>83</v>
      </c>
      <c r="AN12" s="3" t="s">
        <v>83</v>
      </c>
      <c r="AO12" s="3" t="s">
        <v>83</v>
      </c>
      <c r="AP12" s="8">
        <f t="shared" si="41"/>
        <v>19372.43</v>
      </c>
      <c r="AQ12" s="7" t="s">
        <v>83</v>
      </c>
      <c r="AR12" s="9">
        <f t="shared" si="16"/>
        <v>15127.98</v>
      </c>
      <c r="AS12" s="8">
        <f t="shared" si="17"/>
        <v>22892</v>
      </c>
      <c r="AT12" s="17">
        <f t="shared" si="28"/>
        <v>22907.36</v>
      </c>
      <c r="AU12" s="9">
        <f t="shared" si="29"/>
        <v>16640.778000000002</v>
      </c>
      <c r="AV12" s="8">
        <f t="shared" si="18"/>
        <v>22892</v>
      </c>
      <c r="AW12" s="4">
        <f t="shared" si="42"/>
        <v>26290.25</v>
      </c>
      <c r="AX12" s="8">
        <f t="shared" si="43"/>
        <v>20398.7</v>
      </c>
      <c r="AY12" s="14">
        <v>0</v>
      </c>
      <c r="AZ12" s="14">
        <v>0</v>
      </c>
      <c r="BA12" s="14">
        <v>0</v>
      </c>
      <c r="BB12" s="8">
        <f t="shared" si="30"/>
        <v>27874</v>
      </c>
      <c r="BC12" s="8">
        <f t="shared" si="31"/>
        <v>31675</v>
      </c>
      <c r="BD12" s="8">
        <f t="shared" si="32"/>
        <v>24073</v>
      </c>
      <c r="BE12" s="8">
        <f t="shared" si="19"/>
        <v>17421.25</v>
      </c>
      <c r="BF12" s="8">
        <f t="shared" si="20"/>
        <v>22892</v>
      </c>
      <c r="BG12" s="8">
        <f t="shared" si="21"/>
        <v>21747.399999999998</v>
      </c>
      <c r="BH12" s="14">
        <v>0</v>
      </c>
      <c r="BI12" s="14">
        <v>0</v>
      </c>
      <c r="BJ12" s="8">
        <f t="shared" si="22"/>
        <v>21747.399999999998</v>
      </c>
      <c r="BK12" s="9">
        <f t="shared" si="23"/>
        <v>22892</v>
      </c>
      <c r="BL12" s="17">
        <f t="shared" si="33"/>
        <v>26923.75</v>
      </c>
      <c r="BM12" s="8">
        <f t="shared" si="24"/>
        <v>22892</v>
      </c>
      <c r="BN12" s="8">
        <f>MIN(N12:BM12:BM12)</f>
        <v>0</v>
      </c>
      <c r="BO12" s="8">
        <f t="shared" si="25"/>
        <v>31675</v>
      </c>
    </row>
    <row r="13" spans="1:67" ht="19.5" customHeight="1">
      <c r="A13" s="10">
        <f t="shared" si="44"/>
        <v>12</v>
      </c>
      <c r="B13" s="11" t="s">
        <v>83</v>
      </c>
      <c r="C13" s="11" t="s">
        <v>378</v>
      </c>
      <c r="D13" s="30" t="s">
        <v>216</v>
      </c>
      <c r="E13" s="11" t="s">
        <v>121</v>
      </c>
      <c r="F13" s="42">
        <v>41389.84</v>
      </c>
      <c r="G13" s="11" t="s">
        <v>378</v>
      </c>
      <c r="H13" s="48">
        <v>0</v>
      </c>
      <c r="I13" s="57">
        <v>12.91</v>
      </c>
      <c r="J13" s="8">
        <f t="shared" si="0"/>
        <v>23111.881</v>
      </c>
      <c r="K13" s="24" t="s">
        <v>381</v>
      </c>
      <c r="L13" s="17">
        <v>17778.37</v>
      </c>
      <c r="M13" s="8">
        <f t="shared" si="1"/>
        <v>15414.54</v>
      </c>
      <c r="N13" s="17">
        <f t="shared" si="27"/>
        <v>25635.387000000002</v>
      </c>
      <c r="O13" s="8">
        <f t="shared" si="2"/>
        <v>17778.37</v>
      </c>
      <c r="P13" s="8">
        <f t="shared" si="34"/>
        <v>23999.69</v>
      </c>
      <c r="Q13" s="14">
        <v>0</v>
      </c>
      <c r="R13" s="14">
        <v>0</v>
      </c>
      <c r="S13" s="8">
        <f t="shared" si="3"/>
        <v>17778.37</v>
      </c>
      <c r="T13" s="21">
        <f t="shared" si="37"/>
        <v>21882.45</v>
      </c>
      <c r="U13" s="17">
        <f t="shared" si="38"/>
        <v>19984.68</v>
      </c>
      <c r="V13" s="3">
        <f t="shared" si="4"/>
        <v>17778.37</v>
      </c>
      <c r="W13" s="3" t="s">
        <v>83</v>
      </c>
      <c r="X13" s="8">
        <f t="shared" si="5"/>
        <v>17778.37</v>
      </c>
      <c r="Y13" s="17">
        <f t="shared" si="39"/>
        <v>19636.11</v>
      </c>
      <c r="Z13" s="8">
        <f t="shared" si="40"/>
        <v>21972.82</v>
      </c>
      <c r="AA13" s="12">
        <f t="shared" si="6"/>
        <v>16000.533</v>
      </c>
      <c r="AB13" s="8">
        <f t="shared" si="7"/>
        <v>17778.37</v>
      </c>
      <c r="AC13" s="7">
        <f t="shared" si="8"/>
        <v>18667.2885</v>
      </c>
      <c r="AD13" s="9">
        <f t="shared" si="9"/>
        <v>17778.37</v>
      </c>
      <c r="AE13" s="8">
        <f t="shared" si="10"/>
        <v>17778.37</v>
      </c>
      <c r="AF13" s="8">
        <f t="shared" si="11"/>
        <v>16356.1004</v>
      </c>
      <c r="AG13" s="7">
        <f t="shared" si="12"/>
        <v>28972.887999999995</v>
      </c>
      <c r="AH13" s="8">
        <f t="shared" si="35"/>
        <v>20656</v>
      </c>
      <c r="AI13" s="8">
        <f t="shared" si="36"/>
        <v>20656</v>
      </c>
      <c r="AJ13" s="7">
        <f t="shared" si="13"/>
        <v>21236.95</v>
      </c>
      <c r="AK13" s="8">
        <f t="shared" si="14"/>
        <v>17778.37</v>
      </c>
      <c r="AL13" s="8">
        <f t="shared" si="15"/>
        <v>21947</v>
      </c>
      <c r="AM13" s="3" t="s">
        <v>83</v>
      </c>
      <c r="AN13" s="3" t="s">
        <v>83</v>
      </c>
      <c r="AO13" s="3" t="s">
        <v>83</v>
      </c>
      <c r="AP13" s="8">
        <f t="shared" si="41"/>
        <v>19739.39</v>
      </c>
      <c r="AQ13" s="7" t="s">
        <v>83</v>
      </c>
      <c r="AR13" s="9">
        <f t="shared" si="16"/>
        <v>15414.54</v>
      </c>
      <c r="AS13" s="8">
        <f t="shared" si="17"/>
        <v>17778.37</v>
      </c>
      <c r="AT13" s="17">
        <f t="shared" si="28"/>
        <v>23341.28</v>
      </c>
      <c r="AU13" s="9">
        <f t="shared" si="29"/>
        <v>16955.994000000002</v>
      </c>
      <c r="AV13" s="8">
        <f t="shared" si="18"/>
        <v>17778.37</v>
      </c>
      <c r="AW13" s="4">
        <f t="shared" si="42"/>
        <v>26788.25</v>
      </c>
      <c r="AX13" s="8">
        <f t="shared" si="43"/>
        <v>20785.1</v>
      </c>
      <c r="AY13" s="14">
        <v>0</v>
      </c>
      <c r="AZ13" s="14">
        <v>0</v>
      </c>
      <c r="BA13" s="14">
        <v>0</v>
      </c>
      <c r="BB13" s="8">
        <f t="shared" si="30"/>
        <v>28402</v>
      </c>
      <c r="BC13" s="8">
        <f t="shared" si="31"/>
        <v>32275</v>
      </c>
      <c r="BD13" s="8">
        <f t="shared" si="32"/>
        <v>24529</v>
      </c>
      <c r="BE13" s="8">
        <f t="shared" si="19"/>
        <v>17751.25</v>
      </c>
      <c r="BF13" s="8">
        <f t="shared" si="20"/>
        <v>17778.37</v>
      </c>
      <c r="BG13" s="8">
        <f t="shared" si="21"/>
        <v>16889.4515</v>
      </c>
      <c r="BH13" s="14">
        <v>0</v>
      </c>
      <c r="BI13" s="14">
        <v>0</v>
      </c>
      <c r="BJ13" s="8">
        <f t="shared" si="22"/>
        <v>16889.4515</v>
      </c>
      <c r="BK13" s="9">
        <f t="shared" si="23"/>
        <v>17778.37</v>
      </c>
      <c r="BL13" s="17">
        <f t="shared" si="33"/>
        <v>27433.75</v>
      </c>
      <c r="BM13" s="8">
        <f t="shared" si="24"/>
        <v>17778.37</v>
      </c>
      <c r="BN13" s="8">
        <f>MIN(N13:BM13:BM13)</f>
        <v>0</v>
      </c>
      <c r="BO13" s="8">
        <f t="shared" si="25"/>
        <v>32275</v>
      </c>
    </row>
    <row r="14" spans="1:67" ht="19.5" customHeight="1">
      <c r="A14" s="10">
        <f t="shared" si="44"/>
        <v>13</v>
      </c>
      <c r="B14" s="11" t="s">
        <v>83</v>
      </c>
      <c r="C14" s="11" t="s">
        <v>378</v>
      </c>
      <c r="D14" s="30" t="s">
        <v>217</v>
      </c>
      <c r="E14" s="11" t="s">
        <v>121</v>
      </c>
      <c r="F14" s="42">
        <v>48238.38</v>
      </c>
      <c r="G14" s="11" t="s">
        <v>378</v>
      </c>
      <c r="H14" s="48">
        <v>0</v>
      </c>
      <c r="I14" s="57">
        <v>13.91</v>
      </c>
      <c r="J14" s="8">
        <f t="shared" si="0"/>
        <v>40038.635</v>
      </c>
      <c r="K14" s="24" t="s">
        <v>381</v>
      </c>
      <c r="L14" s="17">
        <v>30798.95</v>
      </c>
      <c r="M14" s="8">
        <f t="shared" si="1"/>
        <v>16608.54</v>
      </c>
      <c r="N14" s="17">
        <f t="shared" si="27"/>
        <v>27621.087</v>
      </c>
      <c r="O14" s="8">
        <f t="shared" si="2"/>
        <v>30798.95</v>
      </c>
      <c r="P14" s="8">
        <f t="shared" si="34"/>
        <v>25858.69</v>
      </c>
      <c r="Q14" s="14">
        <v>0</v>
      </c>
      <c r="R14" s="14">
        <v>0</v>
      </c>
      <c r="S14" s="8">
        <f t="shared" si="3"/>
        <v>30798.95</v>
      </c>
      <c r="T14" s="21">
        <f t="shared" si="37"/>
        <v>23577.45</v>
      </c>
      <c r="U14" s="17">
        <f t="shared" si="38"/>
        <v>21532.68</v>
      </c>
      <c r="V14" s="3">
        <f t="shared" si="4"/>
        <v>30798.95</v>
      </c>
      <c r="W14" s="3" t="s">
        <v>83</v>
      </c>
      <c r="X14" s="8">
        <f t="shared" si="5"/>
        <v>30798.95</v>
      </c>
      <c r="Y14" s="17">
        <f t="shared" si="39"/>
        <v>21157.11</v>
      </c>
      <c r="Z14" s="8">
        <f t="shared" si="40"/>
        <v>23674.82</v>
      </c>
      <c r="AA14" s="12">
        <f t="shared" si="6"/>
        <v>27719.055</v>
      </c>
      <c r="AB14" s="8">
        <f t="shared" si="7"/>
        <v>30798.95</v>
      </c>
      <c r="AC14" s="7">
        <f t="shared" si="8"/>
        <v>32338.897500000003</v>
      </c>
      <c r="AD14" s="9">
        <f t="shared" si="9"/>
        <v>30798.95</v>
      </c>
      <c r="AE14" s="8">
        <f t="shared" si="10"/>
        <v>30798.95</v>
      </c>
      <c r="AF14" s="8">
        <f t="shared" si="11"/>
        <v>28335.034000000003</v>
      </c>
      <c r="AG14" s="7">
        <f t="shared" si="12"/>
        <v>33766.865999999995</v>
      </c>
      <c r="AH14" s="8">
        <f t="shared" si="35"/>
        <v>22256</v>
      </c>
      <c r="AI14" s="8">
        <f t="shared" si="36"/>
        <v>22256</v>
      </c>
      <c r="AJ14" s="7">
        <f t="shared" si="13"/>
        <v>22881.95</v>
      </c>
      <c r="AK14" s="8">
        <f t="shared" si="14"/>
        <v>30798.95</v>
      </c>
      <c r="AL14" s="8">
        <f t="shared" si="15"/>
        <v>23647</v>
      </c>
      <c r="AM14" s="3" t="s">
        <v>83</v>
      </c>
      <c r="AN14" s="3" t="s">
        <v>83</v>
      </c>
      <c r="AO14" s="3" t="s">
        <v>83</v>
      </c>
      <c r="AP14" s="8">
        <f t="shared" si="41"/>
        <v>21268.39</v>
      </c>
      <c r="AQ14" s="7" t="s">
        <v>83</v>
      </c>
      <c r="AR14" s="9">
        <f t="shared" si="16"/>
        <v>16608.54</v>
      </c>
      <c r="AS14" s="8">
        <f t="shared" si="17"/>
        <v>30798.95</v>
      </c>
      <c r="AT14" s="17">
        <f t="shared" si="28"/>
        <v>25149.28</v>
      </c>
      <c r="AU14" s="9">
        <f t="shared" si="29"/>
        <v>18269.394000000004</v>
      </c>
      <c r="AV14" s="8">
        <f t="shared" si="18"/>
        <v>30798.95</v>
      </c>
      <c r="AW14" s="4">
        <f t="shared" si="42"/>
        <v>28863.25</v>
      </c>
      <c r="AX14" s="8">
        <f t="shared" si="43"/>
        <v>22395.1</v>
      </c>
      <c r="AY14" s="14">
        <v>0</v>
      </c>
      <c r="AZ14" s="14">
        <v>0</v>
      </c>
      <c r="BA14" s="14">
        <v>0</v>
      </c>
      <c r="BB14" s="8">
        <f t="shared" si="30"/>
        <v>30602</v>
      </c>
      <c r="BC14" s="8">
        <f t="shared" si="31"/>
        <v>34775</v>
      </c>
      <c r="BD14" s="8">
        <f t="shared" si="32"/>
        <v>26429</v>
      </c>
      <c r="BE14" s="8">
        <f t="shared" si="19"/>
        <v>19126.25</v>
      </c>
      <c r="BF14" s="8">
        <f t="shared" si="20"/>
        <v>30798.95</v>
      </c>
      <c r="BG14" s="8">
        <f t="shared" si="21"/>
        <v>29259.0025</v>
      </c>
      <c r="BH14" s="14">
        <v>0</v>
      </c>
      <c r="BI14" s="14">
        <v>0</v>
      </c>
      <c r="BJ14" s="8">
        <f t="shared" si="22"/>
        <v>29259.0025</v>
      </c>
      <c r="BK14" s="9">
        <f t="shared" si="23"/>
        <v>30798.95</v>
      </c>
      <c r="BL14" s="17">
        <f t="shared" si="33"/>
        <v>29558.75</v>
      </c>
      <c r="BM14" s="8">
        <f t="shared" si="24"/>
        <v>30798.95</v>
      </c>
      <c r="BN14" s="8">
        <f>MIN(N14:BM14:BM14)</f>
        <v>0</v>
      </c>
      <c r="BO14" s="8">
        <f t="shared" si="25"/>
        <v>34775</v>
      </c>
    </row>
    <row r="15" spans="1:67" ht="19.5" customHeight="1">
      <c r="A15" s="10">
        <f t="shared" si="44"/>
        <v>14</v>
      </c>
      <c r="B15" s="11" t="s">
        <v>83</v>
      </c>
      <c r="C15" s="11" t="s">
        <v>378</v>
      </c>
      <c r="D15" s="30" t="s">
        <v>218</v>
      </c>
      <c r="E15" s="11" t="s">
        <v>121</v>
      </c>
      <c r="F15" s="42">
        <v>50580.92</v>
      </c>
      <c r="G15" s="11" t="s">
        <v>378</v>
      </c>
      <c r="H15" s="48">
        <v>0</v>
      </c>
      <c r="I15" s="57">
        <v>15.37</v>
      </c>
      <c r="J15" s="8">
        <f t="shared" si="0"/>
        <v>34533.85</v>
      </c>
      <c r="K15" s="24" t="s">
        <v>381</v>
      </c>
      <c r="L15" s="17">
        <v>26564.5</v>
      </c>
      <c r="M15" s="8">
        <f t="shared" si="1"/>
        <v>18351.78</v>
      </c>
      <c r="N15" s="17">
        <f t="shared" si="27"/>
        <v>30520.209</v>
      </c>
      <c r="O15" s="8">
        <f t="shared" si="2"/>
        <v>26564.5</v>
      </c>
      <c r="P15" s="8">
        <f t="shared" si="34"/>
        <v>28572.829999999998</v>
      </c>
      <c r="Q15" s="14">
        <v>0</v>
      </c>
      <c r="R15" s="14">
        <v>0</v>
      </c>
      <c r="S15" s="8">
        <f t="shared" si="3"/>
        <v>26564.5</v>
      </c>
      <c r="T15" s="21">
        <f t="shared" si="37"/>
        <v>26052.149999999998</v>
      </c>
      <c r="U15" s="17">
        <f t="shared" si="38"/>
        <v>23792.76</v>
      </c>
      <c r="V15" s="3">
        <f t="shared" si="4"/>
        <v>26564.5</v>
      </c>
      <c r="W15" s="3" t="s">
        <v>83</v>
      </c>
      <c r="X15" s="8">
        <f t="shared" si="5"/>
        <v>26564.5</v>
      </c>
      <c r="Y15" s="17">
        <f t="shared" si="39"/>
        <v>23377.77</v>
      </c>
      <c r="Z15" s="8">
        <f t="shared" si="40"/>
        <v>26159.739999999998</v>
      </c>
      <c r="AA15" s="12">
        <f t="shared" si="6"/>
        <v>23908.05</v>
      </c>
      <c r="AB15" s="8">
        <f t="shared" si="7"/>
        <v>26564.5</v>
      </c>
      <c r="AC15" s="7">
        <f t="shared" si="8"/>
        <v>27892.725000000002</v>
      </c>
      <c r="AD15" s="9">
        <f t="shared" si="9"/>
        <v>26564.5</v>
      </c>
      <c r="AE15" s="8">
        <f t="shared" si="10"/>
        <v>26564.5</v>
      </c>
      <c r="AF15" s="8">
        <f t="shared" si="11"/>
        <v>24439.34</v>
      </c>
      <c r="AG15" s="7">
        <f t="shared" si="12"/>
        <v>35406.64399999999</v>
      </c>
      <c r="AH15" s="8">
        <f t="shared" si="35"/>
        <v>24592</v>
      </c>
      <c r="AI15" s="8">
        <f t="shared" si="36"/>
        <v>24592</v>
      </c>
      <c r="AJ15" s="7">
        <f t="shared" si="13"/>
        <v>25283.649999999998</v>
      </c>
      <c r="AK15" s="8">
        <f t="shared" si="14"/>
        <v>26564.5</v>
      </c>
      <c r="AL15" s="8">
        <f t="shared" si="15"/>
        <v>26129</v>
      </c>
      <c r="AM15" s="3" t="s">
        <v>83</v>
      </c>
      <c r="AN15" s="3" t="s">
        <v>83</v>
      </c>
      <c r="AO15" s="3" t="s">
        <v>83</v>
      </c>
      <c r="AP15" s="8">
        <f t="shared" si="41"/>
        <v>23500.73</v>
      </c>
      <c r="AQ15" s="7" t="s">
        <v>83</v>
      </c>
      <c r="AR15" s="9">
        <f t="shared" si="16"/>
        <v>18351.78</v>
      </c>
      <c r="AS15" s="8">
        <f t="shared" si="17"/>
        <v>26564.5</v>
      </c>
      <c r="AT15" s="17">
        <f t="shared" si="28"/>
        <v>27788.96</v>
      </c>
      <c r="AU15" s="9">
        <f t="shared" si="29"/>
        <v>20186.958</v>
      </c>
      <c r="AV15" s="8">
        <f t="shared" si="18"/>
        <v>26564.5</v>
      </c>
      <c r="AW15" s="4">
        <f t="shared" si="42"/>
        <v>31892.75</v>
      </c>
      <c r="AX15" s="8">
        <f t="shared" si="43"/>
        <v>24745.699999999997</v>
      </c>
      <c r="AY15" s="14">
        <v>0</v>
      </c>
      <c r="AZ15" s="14">
        <v>0</v>
      </c>
      <c r="BA15" s="14">
        <v>0</v>
      </c>
      <c r="BB15" s="8">
        <f t="shared" si="30"/>
        <v>33814</v>
      </c>
      <c r="BC15" s="8">
        <f t="shared" si="31"/>
        <v>38425</v>
      </c>
      <c r="BD15" s="8">
        <f t="shared" si="32"/>
        <v>29203</v>
      </c>
      <c r="BE15" s="8">
        <f t="shared" si="19"/>
        <v>21133.75</v>
      </c>
      <c r="BF15" s="8">
        <f t="shared" si="20"/>
        <v>26564.5</v>
      </c>
      <c r="BG15" s="8">
        <f t="shared" si="21"/>
        <v>25236.274999999998</v>
      </c>
      <c r="BH15" s="14">
        <v>0</v>
      </c>
      <c r="BI15" s="14">
        <v>0</v>
      </c>
      <c r="BJ15" s="8">
        <f t="shared" si="22"/>
        <v>25236.274999999998</v>
      </c>
      <c r="BK15" s="9">
        <f t="shared" si="23"/>
        <v>26564.5</v>
      </c>
      <c r="BL15" s="17">
        <f t="shared" si="33"/>
        <v>32661.25</v>
      </c>
      <c r="BM15" s="8">
        <f t="shared" si="24"/>
        <v>26564.5</v>
      </c>
      <c r="BN15" s="8">
        <f>MIN(N15:BM15:BM15)</f>
        <v>0</v>
      </c>
      <c r="BO15" s="8">
        <f t="shared" si="25"/>
        <v>38425</v>
      </c>
    </row>
    <row r="16" spans="1:67" ht="19.5" customHeight="1">
      <c r="A16" s="10">
        <f t="shared" si="44"/>
        <v>15</v>
      </c>
      <c r="B16" s="11" t="s">
        <v>83</v>
      </c>
      <c r="C16" s="11" t="s">
        <v>378</v>
      </c>
      <c r="D16" s="30" t="s">
        <v>219</v>
      </c>
      <c r="E16" s="11" t="s">
        <v>121</v>
      </c>
      <c r="F16" s="42">
        <v>44631.77</v>
      </c>
      <c r="G16" s="11" t="s">
        <v>378</v>
      </c>
      <c r="H16" s="48">
        <v>0</v>
      </c>
      <c r="I16" s="57">
        <v>13.32</v>
      </c>
      <c r="J16" s="8">
        <f t="shared" si="0"/>
        <v>28242.629999999997</v>
      </c>
      <c r="K16" s="24" t="s">
        <v>381</v>
      </c>
      <c r="L16" s="14">
        <v>21725.1</v>
      </c>
      <c r="M16" s="8">
        <f t="shared" si="1"/>
        <v>15904.08</v>
      </c>
      <c r="N16" s="17">
        <f t="shared" si="27"/>
        <v>26449.524</v>
      </c>
      <c r="O16" s="14">
        <f t="shared" si="2"/>
        <v>21725.1</v>
      </c>
      <c r="P16" s="8">
        <f t="shared" si="34"/>
        <v>24761.88</v>
      </c>
      <c r="Q16" s="14">
        <v>0</v>
      </c>
      <c r="R16" s="14">
        <v>0</v>
      </c>
      <c r="S16" s="14">
        <f t="shared" si="3"/>
        <v>21725.1</v>
      </c>
      <c r="T16" s="21">
        <f t="shared" si="37"/>
        <v>22577.4</v>
      </c>
      <c r="U16" s="17">
        <f t="shared" si="38"/>
        <v>20619.36</v>
      </c>
      <c r="V16" s="3">
        <f t="shared" si="4"/>
        <v>21725.1</v>
      </c>
      <c r="W16" s="3" t="s">
        <v>83</v>
      </c>
      <c r="X16" s="14">
        <f t="shared" si="5"/>
        <v>21725.1</v>
      </c>
      <c r="Y16" s="17">
        <f t="shared" si="39"/>
        <v>20259.72</v>
      </c>
      <c r="Z16" s="8">
        <f t="shared" si="40"/>
        <v>22670.64</v>
      </c>
      <c r="AA16" s="12">
        <f t="shared" si="6"/>
        <v>19552.59</v>
      </c>
      <c r="AB16" s="14">
        <f t="shared" si="7"/>
        <v>21725.1</v>
      </c>
      <c r="AC16" s="7">
        <f t="shared" si="8"/>
        <v>22811.355</v>
      </c>
      <c r="AD16" s="9">
        <f t="shared" si="9"/>
        <v>21725.1</v>
      </c>
      <c r="AE16" s="14">
        <f t="shared" si="10"/>
        <v>21725.1</v>
      </c>
      <c r="AF16" s="14">
        <f t="shared" si="11"/>
        <v>19987.092</v>
      </c>
      <c r="AG16" s="7">
        <f t="shared" si="12"/>
        <v>31242.238999999994</v>
      </c>
      <c r="AH16" s="8">
        <f t="shared" si="35"/>
        <v>21312</v>
      </c>
      <c r="AI16" s="8">
        <f t="shared" si="36"/>
        <v>21312</v>
      </c>
      <c r="AJ16" s="7">
        <f t="shared" si="13"/>
        <v>21911.4</v>
      </c>
      <c r="AK16" s="14">
        <f t="shared" si="14"/>
        <v>21725.1</v>
      </c>
      <c r="AL16" s="14">
        <f t="shared" si="15"/>
        <v>22644</v>
      </c>
      <c r="AM16" s="3" t="s">
        <v>83</v>
      </c>
      <c r="AN16" s="3" t="s">
        <v>83</v>
      </c>
      <c r="AO16" s="3" t="s">
        <v>83</v>
      </c>
      <c r="AP16" s="14">
        <f t="shared" si="41"/>
        <v>20366.28</v>
      </c>
      <c r="AQ16" s="7" t="s">
        <v>83</v>
      </c>
      <c r="AR16" s="9">
        <f t="shared" si="16"/>
        <v>15904.08</v>
      </c>
      <c r="AS16" s="14">
        <f t="shared" si="17"/>
        <v>21725.1</v>
      </c>
      <c r="AT16" s="17">
        <f t="shared" si="28"/>
        <v>24082.56</v>
      </c>
      <c r="AU16" s="9">
        <f t="shared" si="29"/>
        <v>17494.488</v>
      </c>
      <c r="AV16" s="14">
        <f t="shared" si="18"/>
        <v>21725.1</v>
      </c>
      <c r="AW16" s="4">
        <f t="shared" si="42"/>
        <v>27639</v>
      </c>
      <c r="AX16" s="14">
        <f t="shared" si="43"/>
        <v>21445.2</v>
      </c>
      <c r="AY16" s="14">
        <v>0</v>
      </c>
      <c r="AZ16" s="14">
        <v>0</v>
      </c>
      <c r="BA16" s="14">
        <v>0</v>
      </c>
      <c r="BB16" s="8">
        <f t="shared" si="30"/>
        <v>29304</v>
      </c>
      <c r="BC16" s="8">
        <f t="shared" si="31"/>
        <v>33300</v>
      </c>
      <c r="BD16" s="8">
        <f t="shared" si="32"/>
        <v>25308</v>
      </c>
      <c r="BE16" s="14">
        <f t="shared" si="19"/>
        <v>18315</v>
      </c>
      <c r="BF16" s="14">
        <f t="shared" si="20"/>
        <v>21725.1</v>
      </c>
      <c r="BG16" s="14">
        <f t="shared" si="21"/>
        <v>20638.844999999998</v>
      </c>
      <c r="BH16" s="14">
        <v>0</v>
      </c>
      <c r="BI16" s="14">
        <v>0</v>
      </c>
      <c r="BJ16" s="14">
        <f t="shared" si="22"/>
        <v>20638.844999999998</v>
      </c>
      <c r="BK16" s="9">
        <f t="shared" si="23"/>
        <v>21725.1</v>
      </c>
      <c r="BL16" s="17">
        <f t="shared" si="33"/>
        <v>28305</v>
      </c>
      <c r="BM16" s="14">
        <f t="shared" si="24"/>
        <v>21725.1</v>
      </c>
      <c r="BN16" s="8">
        <f>MIN(N16:BM16:BM16)</f>
        <v>0</v>
      </c>
      <c r="BO16" s="8">
        <f t="shared" si="25"/>
        <v>33300</v>
      </c>
    </row>
    <row r="17" spans="1:67" ht="19.5" customHeight="1">
      <c r="A17" s="10">
        <f t="shared" si="44"/>
        <v>16</v>
      </c>
      <c r="B17" s="11" t="s">
        <v>83</v>
      </c>
      <c r="C17" s="11" t="s">
        <v>378</v>
      </c>
      <c r="D17" s="30" t="s">
        <v>280</v>
      </c>
      <c r="E17" s="11" t="s">
        <v>121</v>
      </c>
      <c r="F17" s="42">
        <v>65284.77</v>
      </c>
      <c r="G17" s="11" t="s">
        <v>378</v>
      </c>
      <c r="H17" s="48">
        <v>0</v>
      </c>
      <c r="I17" s="57">
        <v>14.26</v>
      </c>
      <c r="J17" s="8">
        <f t="shared" si="0"/>
        <v>41575.833</v>
      </c>
      <c r="K17" s="24" t="s">
        <v>381</v>
      </c>
      <c r="L17" s="17">
        <v>31981.41</v>
      </c>
      <c r="M17" s="8">
        <f t="shared" si="1"/>
        <v>17026.44</v>
      </c>
      <c r="N17" s="17">
        <f t="shared" si="27"/>
        <v>28316.082</v>
      </c>
      <c r="O17" s="8">
        <f t="shared" si="2"/>
        <v>31981.41</v>
      </c>
      <c r="P17" s="8">
        <f t="shared" si="34"/>
        <v>26509.34</v>
      </c>
      <c r="Q17" s="14">
        <v>0</v>
      </c>
      <c r="R17" s="14">
        <v>0</v>
      </c>
      <c r="S17" s="8">
        <f t="shared" si="3"/>
        <v>31981.41</v>
      </c>
      <c r="T17" s="21">
        <f t="shared" si="37"/>
        <v>24170.7</v>
      </c>
      <c r="U17" s="17">
        <f t="shared" si="38"/>
        <v>22074.48</v>
      </c>
      <c r="V17" s="3">
        <f t="shared" si="4"/>
        <v>31981.41</v>
      </c>
      <c r="W17" s="3" t="s">
        <v>83</v>
      </c>
      <c r="X17" s="8">
        <f t="shared" si="5"/>
        <v>31981.41</v>
      </c>
      <c r="Y17" s="17">
        <f t="shared" si="39"/>
        <v>21689.46</v>
      </c>
      <c r="Z17" s="8">
        <f t="shared" si="40"/>
        <v>24270.52</v>
      </c>
      <c r="AA17" s="12">
        <f t="shared" si="6"/>
        <v>28783.269</v>
      </c>
      <c r="AB17" s="8">
        <f t="shared" si="7"/>
        <v>31981.41</v>
      </c>
      <c r="AC17" s="7">
        <f t="shared" si="8"/>
        <v>33580.4805</v>
      </c>
      <c r="AD17" s="9">
        <f t="shared" si="9"/>
        <v>31981.41</v>
      </c>
      <c r="AE17" s="8">
        <f t="shared" si="10"/>
        <v>31981.41</v>
      </c>
      <c r="AF17" s="8">
        <f t="shared" si="11"/>
        <v>29422.8972</v>
      </c>
      <c r="AG17" s="7">
        <f t="shared" si="12"/>
        <v>45699.33899999999</v>
      </c>
      <c r="AH17" s="8">
        <f t="shared" si="35"/>
        <v>22816</v>
      </c>
      <c r="AI17" s="8">
        <f t="shared" si="36"/>
        <v>22816</v>
      </c>
      <c r="AJ17" s="7">
        <f t="shared" si="13"/>
        <v>23457.7</v>
      </c>
      <c r="AK17" s="8">
        <f t="shared" si="14"/>
        <v>31981.41</v>
      </c>
      <c r="AL17" s="8">
        <f t="shared" si="15"/>
        <v>24242</v>
      </c>
      <c r="AM17" s="3" t="s">
        <v>83</v>
      </c>
      <c r="AN17" s="3" t="s">
        <v>83</v>
      </c>
      <c r="AO17" s="3" t="s">
        <v>83</v>
      </c>
      <c r="AP17" s="8">
        <f t="shared" si="41"/>
        <v>21803.54</v>
      </c>
      <c r="AQ17" s="7" t="s">
        <v>83</v>
      </c>
      <c r="AR17" s="9">
        <f t="shared" si="16"/>
        <v>17026.44</v>
      </c>
      <c r="AS17" s="8">
        <f t="shared" si="17"/>
        <v>31981.41</v>
      </c>
      <c r="AT17" s="17">
        <f t="shared" si="28"/>
        <v>25782.079999999998</v>
      </c>
      <c r="AU17" s="9">
        <f t="shared" si="29"/>
        <v>18729.084</v>
      </c>
      <c r="AV17" s="8">
        <f t="shared" si="18"/>
        <v>31981.41</v>
      </c>
      <c r="AW17" s="4">
        <f t="shared" si="42"/>
        <v>29589.5</v>
      </c>
      <c r="AX17" s="8">
        <f t="shared" si="43"/>
        <v>22958.6</v>
      </c>
      <c r="AY17" s="14">
        <v>0</v>
      </c>
      <c r="AZ17" s="14">
        <v>0</v>
      </c>
      <c r="BA17" s="14">
        <v>0</v>
      </c>
      <c r="BB17" s="8">
        <f t="shared" si="30"/>
        <v>31372</v>
      </c>
      <c r="BC17" s="8">
        <f t="shared" si="31"/>
        <v>35650</v>
      </c>
      <c r="BD17" s="8">
        <f t="shared" si="32"/>
        <v>27094</v>
      </c>
      <c r="BE17" s="8">
        <f t="shared" si="19"/>
        <v>19607.5</v>
      </c>
      <c r="BF17" s="8">
        <f t="shared" si="20"/>
        <v>31981.41</v>
      </c>
      <c r="BG17" s="8">
        <f t="shared" si="21"/>
        <v>30382.3395</v>
      </c>
      <c r="BH17" s="14">
        <v>0</v>
      </c>
      <c r="BI17" s="14">
        <v>0</v>
      </c>
      <c r="BJ17" s="8">
        <f t="shared" si="22"/>
        <v>30382.3395</v>
      </c>
      <c r="BK17" s="9">
        <f t="shared" si="23"/>
        <v>31981.41</v>
      </c>
      <c r="BL17" s="17">
        <f t="shared" si="33"/>
        <v>30302.5</v>
      </c>
      <c r="BM17" s="8">
        <f t="shared" si="24"/>
        <v>31981.41</v>
      </c>
      <c r="BN17" s="8">
        <f>MIN(N17:BM17:BM17)</f>
        <v>0</v>
      </c>
      <c r="BO17" s="8">
        <f t="shared" si="25"/>
        <v>45699.33899999999</v>
      </c>
    </row>
    <row r="18" spans="1:67" ht="19.5" customHeight="1">
      <c r="A18" s="10">
        <f t="shared" si="44"/>
        <v>17</v>
      </c>
      <c r="B18" s="11" t="s">
        <v>83</v>
      </c>
      <c r="C18" s="11" t="s">
        <v>378</v>
      </c>
      <c r="D18" s="30" t="s">
        <v>220</v>
      </c>
      <c r="E18" s="11" t="s">
        <v>121</v>
      </c>
      <c r="F18" s="42">
        <v>52305.33</v>
      </c>
      <c r="G18" s="11" t="s">
        <v>378</v>
      </c>
      <c r="H18" s="48">
        <v>0</v>
      </c>
      <c r="I18" s="57">
        <v>14.63</v>
      </c>
      <c r="J18" s="8">
        <f t="shared" si="0"/>
        <v>33444.606</v>
      </c>
      <c r="K18" s="24" t="s">
        <v>381</v>
      </c>
      <c r="L18" s="17">
        <v>25726.62</v>
      </c>
      <c r="M18" s="8">
        <f t="shared" si="1"/>
        <v>17468.22</v>
      </c>
      <c r="N18" s="17">
        <f t="shared" si="27"/>
        <v>29050.791</v>
      </c>
      <c r="O18" s="8">
        <f t="shared" si="2"/>
        <v>25726.62</v>
      </c>
      <c r="P18" s="8">
        <f t="shared" si="34"/>
        <v>27197.170000000002</v>
      </c>
      <c r="Q18" s="14">
        <v>0</v>
      </c>
      <c r="R18" s="14">
        <v>0</v>
      </c>
      <c r="S18" s="8">
        <f t="shared" si="3"/>
        <v>25726.62</v>
      </c>
      <c r="T18" s="21">
        <f t="shared" si="37"/>
        <v>24797.850000000002</v>
      </c>
      <c r="U18" s="17">
        <f t="shared" si="38"/>
        <v>22647.24</v>
      </c>
      <c r="V18" s="3">
        <f t="shared" si="4"/>
        <v>25726.62</v>
      </c>
      <c r="W18" s="3" t="s">
        <v>83</v>
      </c>
      <c r="X18" s="8">
        <f t="shared" si="5"/>
        <v>25726.62</v>
      </c>
      <c r="Y18" s="17">
        <f t="shared" si="39"/>
        <v>22252.23</v>
      </c>
      <c r="Z18" s="8">
        <f t="shared" si="40"/>
        <v>24900.260000000002</v>
      </c>
      <c r="AA18" s="12">
        <f t="shared" si="6"/>
        <v>23153.958</v>
      </c>
      <c r="AB18" s="8">
        <f t="shared" si="7"/>
        <v>25726.62</v>
      </c>
      <c r="AC18" s="7">
        <f t="shared" si="8"/>
        <v>27012.951</v>
      </c>
      <c r="AD18" s="9">
        <f t="shared" si="9"/>
        <v>25726.62</v>
      </c>
      <c r="AE18" s="8">
        <f t="shared" si="10"/>
        <v>25726.62</v>
      </c>
      <c r="AF18" s="8">
        <f t="shared" si="11"/>
        <v>23668.4904</v>
      </c>
      <c r="AG18" s="7">
        <f t="shared" si="12"/>
        <v>36613.731</v>
      </c>
      <c r="AH18" s="8">
        <f t="shared" si="35"/>
        <v>23408</v>
      </c>
      <c r="AI18" s="8">
        <f t="shared" si="36"/>
        <v>23408</v>
      </c>
      <c r="AJ18" s="7">
        <f t="shared" si="13"/>
        <v>24066.350000000002</v>
      </c>
      <c r="AK18" s="8">
        <f t="shared" si="14"/>
        <v>25726.62</v>
      </c>
      <c r="AL18" s="8">
        <f t="shared" si="15"/>
        <v>24871</v>
      </c>
      <c r="AM18" s="3" t="s">
        <v>83</v>
      </c>
      <c r="AN18" s="3" t="s">
        <v>83</v>
      </c>
      <c r="AO18" s="3" t="s">
        <v>83</v>
      </c>
      <c r="AP18" s="8">
        <f t="shared" si="41"/>
        <v>22369.27</v>
      </c>
      <c r="AQ18" s="7" t="s">
        <v>83</v>
      </c>
      <c r="AR18" s="9">
        <f t="shared" si="16"/>
        <v>17468.22</v>
      </c>
      <c r="AS18" s="8">
        <f t="shared" si="17"/>
        <v>25726.62</v>
      </c>
      <c r="AT18" s="17">
        <f t="shared" si="28"/>
        <v>26451.04</v>
      </c>
      <c r="AU18" s="9">
        <f t="shared" si="29"/>
        <v>19215.042</v>
      </c>
      <c r="AV18" s="8">
        <f t="shared" si="18"/>
        <v>25726.62</v>
      </c>
      <c r="AW18" s="4">
        <f t="shared" si="42"/>
        <v>30357.25</v>
      </c>
      <c r="AX18" s="8">
        <f t="shared" si="43"/>
        <v>23554.300000000003</v>
      </c>
      <c r="AY18" s="14">
        <v>0</v>
      </c>
      <c r="AZ18" s="14">
        <v>0</v>
      </c>
      <c r="BA18" s="14">
        <v>0</v>
      </c>
      <c r="BB18" s="8">
        <f t="shared" si="30"/>
        <v>32186</v>
      </c>
      <c r="BC18" s="8">
        <f t="shared" si="31"/>
        <v>36575</v>
      </c>
      <c r="BD18" s="8">
        <f t="shared" si="32"/>
        <v>27797</v>
      </c>
      <c r="BE18" s="8">
        <f t="shared" si="19"/>
        <v>20116.25</v>
      </c>
      <c r="BF18" s="8">
        <f t="shared" si="20"/>
        <v>25726.62</v>
      </c>
      <c r="BG18" s="8">
        <f t="shared" si="21"/>
        <v>24440.288999999997</v>
      </c>
      <c r="BH18" s="14">
        <v>0</v>
      </c>
      <c r="BI18" s="14">
        <v>0</v>
      </c>
      <c r="BJ18" s="8">
        <f t="shared" si="22"/>
        <v>24440.288999999997</v>
      </c>
      <c r="BK18" s="9">
        <f t="shared" si="23"/>
        <v>25726.62</v>
      </c>
      <c r="BL18" s="17">
        <f t="shared" si="33"/>
        <v>31088.75</v>
      </c>
      <c r="BM18" s="8">
        <f t="shared" si="24"/>
        <v>25726.62</v>
      </c>
      <c r="BN18" s="8">
        <f>MIN(N18:BM18:BM18)</f>
        <v>0</v>
      </c>
      <c r="BO18" s="8">
        <f t="shared" si="25"/>
        <v>36613.731</v>
      </c>
    </row>
    <row r="19" spans="1:67" ht="19.5" customHeight="1">
      <c r="A19" s="10">
        <f t="shared" si="44"/>
        <v>18</v>
      </c>
      <c r="B19" s="11" t="s">
        <v>83</v>
      </c>
      <c r="C19" s="11" t="s">
        <v>378</v>
      </c>
      <c r="D19" s="30" t="s">
        <v>221</v>
      </c>
      <c r="E19" s="11" t="s">
        <v>121</v>
      </c>
      <c r="F19" s="42">
        <v>58614.17</v>
      </c>
      <c r="G19" s="11" t="s">
        <v>378</v>
      </c>
      <c r="H19" s="48">
        <v>0</v>
      </c>
      <c r="I19" s="57">
        <v>17.85</v>
      </c>
      <c r="J19" s="8">
        <f t="shared" si="0"/>
        <v>38484.186</v>
      </c>
      <c r="K19" s="24" t="s">
        <v>381</v>
      </c>
      <c r="L19" s="17">
        <v>29603.22</v>
      </c>
      <c r="M19" s="8">
        <f t="shared" si="1"/>
        <v>21312.9</v>
      </c>
      <c r="N19" s="17">
        <f t="shared" si="27"/>
        <v>35444.745</v>
      </c>
      <c r="O19" s="8">
        <f t="shared" si="2"/>
        <v>29603.22</v>
      </c>
      <c r="P19" s="8">
        <f t="shared" si="34"/>
        <v>33183.15</v>
      </c>
      <c r="Q19" s="14">
        <v>0</v>
      </c>
      <c r="R19" s="14">
        <v>0</v>
      </c>
      <c r="S19" s="8">
        <f t="shared" si="3"/>
        <v>29603.22</v>
      </c>
      <c r="T19" s="21">
        <f t="shared" si="37"/>
        <v>30255.750000000004</v>
      </c>
      <c r="U19" s="17">
        <f t="shared" si="38"/>
        <v>27631.800000000003</v>
      </c>
      <c r="V19" s="3">
        <f t="shared" si="4"/>
        <v>29603.22</v>
      </c>
      <c r="W19" s="3" t="s">
        <v>83</v>
      </c>
      <c r="X19" s="8">
        <f t="shared" si="5"/>
        <v>29603.22</v>
      </c>
      <c r="Y19" s="17">
        <f t="shared" si="39"/>
        <v>27149.850000000002</v>
      </c>
      <c r="Z19" s="8">
        <f t="shared" si="40"/>
        <v>30380.7</v>
      </c>
      <c r="AA19" s="12">
        <f t="shared" si="6"/>
        <v>26642.898</v>
      </c>
      <c r="AB19" s="8">
        <f t="shared" si="7"/>
        <v>29603.22</v>
      </c>
      <c r="AC19" s="7">
        <f t="shared" si="8"/>
        <v>31083.381</v>
      </c>
      <c r="AD19" s="9">
        <f t="shared" si="9"/>
        <v>29603.22</v>
      </c>
      <c r="AE19" s="8">
        <f t="shared" si="10"/>
        <v>29603.22</v>
      </c>
      <c r="AF19" s="8">
        <f t="shared" si="11"/>
        <v>27234.962400000004</v>
      </c>
      <c r="AG19" s="7">
        <f t="shared" si="12"/>
        <v>41029.918999999994</v>
      </c>
      <c r="AH19" s="8">
        <f>1600*16+1400*2</f>
        <v>28400</v>
      </c>
      <c r="AI19" s="8">
        <f>1600*16+1400*2</f>
        <v>28400</v>
      </c>
      <c r="AJ19" s="7">
        <f t="shared" si="13"/>
        <v>29363.250000000004</v>
      </c>
      <c r="AK19" s="8">
        <f t="shared" si="14"/>
        <v>29603.22</v>
      </c>
      <c r="AL19" s="8">
        <f t="shared" si="15"/>
        <v>30345.000000000004</v>
      </c>
      <c r="AM19" s="3" t="s">
        <v>83</v>
      </c>
      <c r="AN19" s="3" t="s">
        <v>83</v>
      </c>
      <c r="AO19" s="3" t="s">
        <v>83</v>
      </c>
      <c r="AP19" s="8">
        <f t="shared" si="41"/>
        <v>27292.65</v>
      </c>
      <c r="AQ19" s="7" t="s">
        <v>83</v>
      </c>
      <c r="AR19" s="9">
        <f t="shared" si="16"/>
        <v>21312.9</v>
      </c>
      <c r="AS19" s="8">
        <f t="shared" si="17"/>
        <v>29603.22</v>
      </c>
      <c r="AT19" s="17">
        <f t="shared" si="28"/>
        <v>32272.800000000003</v>
      </c>
      <c r="AU19" s="9">
        <f t="shared" si="29"/>
        <v>23444.190000000002</v>
      </c>
      <c r="AV19" s="8">
        <f t="shared" si="18"/>
        <v>29603.22</v>
      </c>
      <c r="AW19" s="4">
        <f t="shared" si="42"/>
        <v>37038.75</v>
      </c>
      <c r="AX19" s="8">
        <f t="shared" si="43"/>
        <v>28738.500000000004</v>
      </c>
      <c r="AY19" s="14">
        <v>0</v>
      </c>
      <c r="AZ19" s="14">
        <v>0</v>
      </c>
      <c r="BA19" s="14">
        <v>0</v>
      </c>
      <c r="BB19" s="8">
        <f t="shared" si="30"/>
        <v>39270</v>
      </c>
      <c r="BC19" s="8">
        <f t="shared" si="31"/>
        <v>44625</v>
      </c>
      <c r="BD19" s="8">
        <f t="shared" si="32"/>
        <v>33915</v>
      </c>
      <c r="BE19" s="8">
        <f t="shared" si="19"/>
        <v>24543.750000000004</v>
      </c>
      <c r="BF19" s="8">
        <f t="shared" si="20"/>
        <v>29603.22</v>
      </c>
      <c r="BG19" s="8">
        <f t="shared" si="21"/>
        <v>28123.059</v>
      </c>
      <c r="BH19" s="14">
        <v>0</v>
      </c>
      <c r="BI19" s="14">
        <v>0</v>
      </c>
      <c r="BJ19" s="8">
        <f t="shared" si="22"/>
        <v>28123.059</v>
      </c>
      <c r="BK19" s="9">
        <f t="shared" si="23"/>
        <v>29603.22</v>
      </c>
      <c r="BL19" s="17">
        <f t="shared" si="33"/>
        <v>37931.25</v>
      </c>
      <c r="BM19" s="8">
        <f t="shared" si="24"/>
        <v>29603.22</v>
      </c>
      <c r="BN19" s="8">
        <f>MIN(N19:BM19:BM19)</f>
        <v>0</v>
      </c>
      <c r="BO19" s="8">
        <f t="shared" si="25"/>
        <v>44625</v>
      </c>
    </row>
    <row r="20" spans="1:67" ht="19.5" customHeight="1">
      <c r="A20" s="10">
        <f t="shared" si="44"/>
        <v>19</v>
      </c>
      <c r="B20" s="11" t="s">
        <v>83</v>
      </c>
      <c r="C20" s="11" t="s">
        <v>378</v>
      </c>
      <c r="D20" s="30" t="s">
        <v>222</v>
      </c>
      <c r="E20" s="11" t="s">
        <v>121</v>
      </c>
      <c r="F20" s="42">
        <v>87519.54</v>
      </c>
      <c r="G20" s="11" t="s">
        <v>378</v>
      </c>
      <c r="H20" s="48">
        <v>0</v>
      </c>
      <c r="I20" s="57">
        <v>21.44</v>
      </c>
      <c r="J20" s="8">
        <f t="shared" si="0"/>
        <v>53910.35</v>
      </c>
      <c r="K20" s="24" t="s">
        <v>381</v>
      </c>
      <c r="L20" s="17">
        <v>41469.5</v>
      </c>
      <c r="M20" s="8">
        <f t="shared" si="1"/>
        <v>25599.36</v>
      </c>
      <c r="N20" s="17">
        <f t="shared" si="27"/>
        <v>42573.408</v>
      </c>
      <c r="O20" s="8">
        <f t="shared" si="2"/>
        <v>41469.5</v>
      </c>
      <c r="P20" s="8">
        <f t="shared" si="34"/>
        <v>39856.96</v>
      </c>
      <c r="Q20" s="14">
        <v>0</v>
      </c>
      <c r="R20" s="14">
        <v>0</v>
      </c>
      <c r="S20" s="8">
        <f t="shared" si="3"/>
        <v>41469.5</v>
      </c>
      <c r="T20" s="21">
        <f>1888*I20</f>
        <v>40478.72</v>
      </c>
      <c r="U20" s="17">
        <f>1665*I20</f>
        <v>35697.6</v>
      </c>
      <c r="V20" s="3">
        <f t="shared" si="4"/>
        <v>41469.5</v>
      </c>
      <c r="W20" s="3" t="s">
        <v>83</v>
      </c>
      <c r="X20" s="8">
        <f t="shared" si="5"/>
        <v>41469.5</v>
      </c>
      <c r="Y20" s="17">
        <f>1554*I20</f>
        <v>33317.76</v>
      </c>
      <c r="Z20" s="8">
        <f>1851*I20</f>
        <v>39685.44</v>
      </c>
      <c r="AA20" s="12">
        <f t="shared" si="6"/>
        <v>37322.55</v>
      </c>
      <c r="AB20" s="8">
        <f t="shared" si="7"/>
        <v>41469.5</v>
      </c>
      <c r="AC20" s="7">
        <f t="shared" si="8"/>
        <v>43542.975</v>
      </c>
      <c r="AD20" s="9">
        <f t="shared" si="9"/>
        <v>41469.5</v>
      </c>
      <c r="AE20" s="8">
        <f t="shared" si="10"/>
        <v>41469.5</v>
      </c>
      <c r="AF20" s="8">
        <f t="shared" si="11"/>
        <v>38151.94</v>
      </c>
      <c r="AG20" s="7">
        <f t="shared" si="12"/>
        <v>61263.67799999999</v>
      </c>
      <c r="AH20" s="8">
        <f>1600*16+1400*5</f>
        <v>32600</v>
      </c>
      <c r="AI20" s="8">
        <f>1600*16+1400*5</f>
        <v>32600</v>
      </c>
      <c r="AJ20" s="7">
        <f t="shared" si="13"/>
        <v>35268.8</v>
      </c>
      <c r="AK20" s="8">
        <f t="shared" si="14"/>
        <v>41469.5</v>
      </c>
      <c r="AL20" s="8">
        <f t="shared" si="15"/>
        <v>36448</v>
      </c>
      <c r="AM20" s="3" t="s">
        <v>83</v>
      </c>
      <c r="AN20" s="3" t="s">
        <v>83</v>
      </c>
      <c r="AO20" s="3" t="s">
        <v>83</v>
      </c>
      <c r="AP20" s="8">
        <f>1665*I20</f>
        <v>35697.6</v>
      </c>
      <c r="AQ20" s="7" t="s">
        <v>83</v>
      </c>
      <c r="AR20" s="9">
        <f t="shared" si="16"/>
        <v>25599.36</v>
      </c>
      <c r="AS20" s="8">
        <f t="shared" si="17"/>
        <v>41469.5</v>
      </c>
      <c r="AT20" s="17">
        <f t="shared" si="28"/>
        <v>38763.520000000004</v>
      </c>
      <c r="AU20" s="9">
        <f t="shared" si="29"/>
        <v>28159.296000000002</v>
      </c>
      <c r="AV20" s="8">
        <f t="shared" si="18"/>
        <v>41469.5</v>
      </c>
      <c r="AW20" s="4">
        <f>2300*I20</f>
        <v>49312</v>
      </c>
      <c r="AX20" s="8">
        <f>1730*I20</f>
        <v>37091.200000000004</v>
      </c>
      <c r="AY20" s="14">
        <v>0</v>
      </c>
      <c r="AZ20" s="14">
        <v>0</v>
      </c>
      <c r="BA20" s="14">
        <v>0</v>
      </c>
      <c r="BB20" s="8">
        <f t="shared" si="30"/>
        <v>47168</v>
      </c>
      <c r="BC20" s="8">
        <f t="shared" si="31"/>
        <v>53600</v>
      </c>
      <c r="BD20" s="8">
        <f t="shared" si="32"/>
        <v>40736</v>
      </c>
      <c r="BE20" s="8">
        <f t="shared" si="19"/>
        <v>29480</v>
      </c>
      <c r="BF20" s="8">
        <f t="shared" si="20"/>
        <v>41469.5</v>
      </c>
      <c r="BG20" s="8">
        <f t="shared" si="21"/>
        <v>39396.025</v>
      </c>
      <c r="BH20" s="14">
        <v>0</v>
      </c>
      <c r="BI20" s="14">
        <v>0</v>
      </c>
      <c r="BJ20" s="8">
        <f t="shared" si="22"/>
        <v>39396.025</v>
      </c>
      <c r="BK20" s="9">
        <f t="shared" si="23"/>
        <v>41469.5</v>
      </c>
      <c r="BL20" s="17">
        <f t="shared" si="33"/>
        <v>45560</v>
      </c>
      <c r="BM20" s="8">
        <f t="shared" si="24"/>
        <v>41469.5</v>
      </c>
      <c r="BN20" s="8">
        <f>MIN(N20:BM20:BM20)</f>
        <v>0</v>
      </c>
      <c r="BO20" s="8">
        <f t="shared" si="25"/>
        <v>61263.67799999999</v>
      </c>
    </row>
    <row r="21" spans="1:67" ht="19.5" customHeight="1">
      <c r="A21" s="10">
        <f t="shared" si="44"/>
        <v>20</v>
      </c>
      <c r="B21" s="11" t="s">
        <v>83</v>
      </c>
      <c r="C21" s="11" t="s">
        <v>378</v>
      </c>
      <c r="D21" s="30" t="s">
        <v>223</v>
      </c>
      <c r="E21" s="11" t="s">
        <v>121</v>
      </c>
      <c r="F21" s="42">
        <v>62375.04</v>
      </c>
      <c r="G21" s="11" t="s">
        <v>378</v>
      </c>
      <c r="H21" s="48">
        <v>0</v>
      </c>
      <c r="I21" s="57">
        <v>18.81</v>
      </c>
      <c r="J21" s="8">
        <f t="shared" si="0"/>
        <v>43080.85600000001</v>
      </c>
      <c r="K21" s="24" t="s">
        <v>381</v>
      </c>
      <c r="L21" s="17">
        <v>33139.12</v>
      </c>
      <c r="M21" s="8">
        <f t="shared" si="1"/>
        <v>22459.14</v>
      </c>
      <c r="N21" s="17">
        <f t="shared" si="27"/>
        <v>37351.017</v>
      </c>
      <c r="O21" s="8">
        <f t="shared" si="2"/>
        <v>33139.12</v>
      </c>
      <c r="P21" s="8">
        <f t="shared" si="34"/>
        <v>34967.79</v>
      </c>
      <c r="Q21" s="14">
        <v>0</v>
      </c>
      <c r="R21" s="14">
        <v>0</v>
      </c>
      <c r="S21" s="8">
        <f t="shared" si="3"/>
        <v>33139.12</v>
      </c>
      <c r="T21" s="21">
        <f>1764*I21</f>
        <v>33180.84</v>
      </c>
      <c r="U21" s="17">
        <f>1548*I21</f>
        <v>29117.879999999997</v>
      </c>
      <c r="V21" s="3">
        <f t="shared" si="4"/>
        <v>33139.12</v>
      </c>
      <c r="W21" s="3" t="s">
        <v>83</v>
      </c>
      <c r="X21" s="8">
        <f t="shared" si="5"/>
        <v>33139.12</v>
      </c>
      <c r="Y21" s="17">
        <f>1521*I21</f>
        <v>28610.01</v>
      </c>
      <c r="Z21" s="8">
        <f>1702*I21</f>
        <v>32014.62</v>
      </c>
      <c r="AA21" s="12">
        <f t="shared" si="6"/>
        <v>29825.208000000002</v>
      </c>
      <c r="AB21" s="8">
        <f t="shared" si="7"/>
        <v>33139.12</v>
      </c>
      <c r="AC21" s="7">
        <f t="shared" si="8"/>
        <v>34796.076</v>
      </c>
      <c r="AD21" s="9">
        <f t="shared" si="9"/>
        <v>33139.12</v>
      </c>
      <c r="AE21" s="8">
        <f t="shared" si="10"/>
        <v>33139.12</v>
      </c>
      <c r="AF21" s="8">
        <f t="shared" si="11"/>
        <v>30487.990400000002</v>
      </c>
      <c r="AG21" s="7">
        <f t="shared" si="12"/>
        <v>43662.528</v>
      </c>
      <c r="AH21" s="8">
        <f>1600*16+1400*3</f>
        <v>29800</v>
      </c>
      <c r="AI21" s="8">
        <f>1600*16+1400*3</f>
        <v>29800</v>
      </c>
      <c r="AJ21" s="7">
        <f t="shared" si="13"/>
        <v>30942.449999999997</v>
      </c>
      <c r="AK21" s="8">
        <f t="shared" si="14"/>
        <v>33139.12</v>
      </c>
      <c r="AL21" s="8">
        <f t="shared" si="15"/>
        <v>31976.999999999996</v>
      </c>
      <c r="AM21" s="3" t="s">
        <v>83</v>
      </c>
      <c r="AN21" s="3" t="s">
        <v>83</v>
      </c>
      <c r="AO21" s="3" t="s">
        <v>83</v>
      </c>
      <c r="AP21" s="8">
        <f>1529*I21</f>
        <v>28760.489999999998</v>
      </c>
      <c r="AQ21" s="7" t="s">
        <v>83</v>
      </c>
      <c r="AR21" s="9">
        <f t="shared" si="16"/>
        <v>22459.14</v>
      </c>
      <c r="AS21" s="8">
        <f t="shared" si="17"/>
        <v>33139.12</v>
      </c>
      <c r="AT21" s="17">
        <f t="shared" si="28"/>
        <v>34008.479999999996</v>
      </c>
      <c r="AU21" s="9">
        <f t="shared" si="29"/>
        <v>24705.054</v>
      </c>
      <c r="AV21" s="8">
        <f t="shared" si="18"/>
        <v>33139.12</v>
      </c>
      <c r="AW21" s="4">
        <f>2075*I21</f>
        <v>39030.75</v>
      </c>
      <c r="AX21" s="8">
        <f>1700*I21</f>
        <v>31976.999999999996</v>
      </c>
      <c r="AY21" s="14">
        <v>0</v>
      </c>
      <c r="AZ21" s="14">
        <v>0</v>
      </c>
      <c r="BA21" s="14">
        <v>0</v>
      </c>
      <c r="BB21" s="8">
        <f t="shared" si="30"/>
        <v>41382</v>
      </c>
      <c r="BC21" s="8">
        <f t="shared" si="31"/>
        <v>47025</v>
      </c>
      <c r="BD21" s="8">
        <f t="shared" si="32"/>
        <v>35739</v>
      </c>
      <c r="BE21" s="8">
        <f t="shared" si="19"/>
        <v>25863.75</v>
      </c>
      <c r="BF21" s="8">
        <f t="shared" si="20"/>
        <v>33139.12</v>
      </c>
      <c r="BG21" s="8">
        <f t="shared" si="21"/>
        <v>31482.164</v>
      </c>
      <c r="BH21" s="14">
        <v>0</v>
      </c>
      <c r="BI21" s="14">
        <v>0</v>
      </c>
      <c r="BJ21" s="8">
        <f t="shared" si="22"/>
        <v>31482.164</v>
      </c>
      <c r="BK21" s="9">
        <f t="shared" si="23"/>
        <v>33139.12</v>
      </c>
      <c r="BL21" s="17">
        <f t="shared" si="33"/>
        <v>39971.25</v>
      </c>
      <c r="BM21" s="8">
        <f t="shared" si="24"/>
        <v>33139.12</v>
      </c>
      <c r="BN21" s="8">
        <f>MIN(N21:BM21:BM21)</f>
        <v>0</v>
      </c>
      <c r="BO21" s="8">
        <f t="shared" si="25"/>
        <v>47025</v>
      </c>
    </row>
    <row r="22" spans="1:67" ht="19.5" customHeight="1">
      <c r="A22" s="10">
        <f t="shared" si="44"/>
        <v>21</v>
      </c>
      <c r="B22" s="11" t="s">
        <v>83</v>
      </c>
      <c r="C22" s="11" t="s">
        <v>378</v>
      </c>
      <c r="D22" s="30" t="s">
        <v>224</v>
      </c>
      <c r="E22" s="11" t="s">
        <v>121</v>
      </c>
      <c r="F22" s="42">
        <v>54286.94</v>
      </c>
      <c r="G22" s="11" t="s">
        <v>378</v>
      </c>
      <c r="H22" s="48">
        <v>0</v>
      </c>
      <c r="I22" s="57">
        <v>17.53</v>
      </c>
      <c r="J22" s="8">
        <f t="shared" si="0"/>
        <v>38147.161</v>
      </c>
      <c r="K22" s="24" t="s">
        <v>381</v>
      </c>
      <c r="L22" s="17">
        <v>29343.97</v>
      </c>
      <c r="M22" s="8">
        <f t="shared" si="1"/>
        <v>20930.82</v>
      </c>
      <c r="N22" s="17">
        <f t="shared" si="27"/>
        <v>34809.321</v>
      </c>
      <c r="O22" s="8">
        <f t="shared" si="2"/>
        <v>29343.97</v>
      </c>
      <c r="P22" s="8">
        <f t="shared" si="34"/>
        <v>32588.27</v>
      </c>
      <c r="Q22" s="14">
        <v>0</v>
      </c>
      <c r="R22" s="14">
        <v>0</v>
      </c>
      <c r="S22" s="8">
        <f t="shared" si="3"/>
        <v>29343.97</v>
      </c>
      <c r="T22" s="21">
        <f>1764*I22</f>
        <v>30922.920000000002</v>
      </c>
      <c r="U22" s="17">
        <f>1548*I22</f>
        <v>27136.440000000002</v>
      </c>
      <c r="V22" s="3">
        <f t="shared" si="4"/>
        <v>29343.97</v>
      </c>
      <c r="W22" s="3" t="s">
        <v>83</v>
      </c>
      <c r="X22" s="8">
        <f t="shared" si="5"/>
        <v>29343.97</v>
      </c>
      <c r="Y22" s="17">
        <f>1521*I22</f>
        <v>26663.13</v>
      </c>
      <c r="Z22" s="8">
        <f>1702*I22</f>
        <v>29836.06</v>
      </c>
      <c r="AA22" s="12">
        <f t="shared" si="6"/>
        <v>26409.573</v>
      </c>
      <c r="AB22" s="8">
        <f t="shared" si="7"/>
        <v>29343.97</v>
      </c>
      <c r="AC22" s="7">
        <f t="shared" si="8"/>
        <v>30811.168500000003</v>
      </c>
      <c r="AD22" s="9">
        <f t="shared" si="9"/>
        <v>29343.97</v>
      </c>
      <c r="AE22" s="8">
        <f t="shared" si="10"/>
        <v>29343.97</v>
      </c>
      <c r="AF22" s="8">
        <f t="shared" si="11"/>
        <v>26996.452400000002</v>
      </c>
      <c r="AG22" s="7">
        <f t="shared" si="12"/>
        <v>38000.858</v>
      </c>
      <c r="AH22" s="8">
        <f>1600*16+1400*2</f>
        <v>28400</v>
      </c>
      <c r="AI22" s="8">
        <f>1600*16+1400*2</f>
        <v>28400</v>
      </c>
      <c r="AJ22" s="7">
        <f t="shared" si="13"/>
        <v>28836.850000000002</v>
      </c>
      <c r="AK22" s="8">
        <f t="shared" si="14"/>
        <v>29343.97</v>
      </c>
      <c r="AL22" s="8">
        <f t="shared" si="15"/>
        <v>29801.000000000004</v>
      </c>
      <c r="AM22" s="3" t="s">
        <v>83</v>
      </c>
      <c r="AN22" s="3" t="s">
        <v>83</v>
      </c>
      <c r="AO22" s="3" t="s">
        <v>83</v>
      </c>
      <c r="AP22" s="8">
        <f>1529*I22</f>
        <v>26803.370000000003</v>
      </c>
      <c r="AQ22" s="7" t="s">
        <v>83</v>
      </c>
      <c r="AR22" s="9">
        <f t="shared" si="16"/>
        <v>20930.82</v>
      </c>
      <c r="AS22" s="8">
        <f t="shared" si="17"/>
        <v>29343.97</v>
      </c>
      <c r="AT22" s="17">
        <f t="shared" si="28"/>
        <v>31694.24</v>
      </c>
      <c r="AU22" s="9">
        <f t="shared" si="29"/>
        <v>23023.902000000002</v>
      </c>
      <c r="AV22" s="8">
        <f t="shared" si="18"/>
        <v>29343.97</v>
      </c>
      <c r="AW22" s="4">
        <f>2075*I22</f>
        <v>36374.75</v>
      </c>
      <c r="AX22" s="8">
        <f>1700*I22</f>
        <v>29801.000000000004</v>
      </c>
      <c r="AY22" s="14">
        <v>0</v>
      </c>
      <c r="AZ22" s="14">
        <v>0</v>
      </c>
      <c r="BA22" s="14">
        <v>0</v>
      </c>
      <c r="BB22" s="8">
        <f t="shared" si="30"/>
        <v>38566</v>
      </c>
      <c r="BC22" s="8">
        <f t="shared" si="31"/>
        <v>43825</v>
      </c>
      <c r="BD22" s="8">
        <f t="shared" si="32"/>
        <v>33307</v>
      </c>
      <c r="BE22" s="8">
        <f t="shared" si="19"/>
        <v>24103.75</v>
      </c>
      <c r="BF22" s="8">
        <f t="shared" si="20"/>
        <v>29343.97</v>
      </c>
      <c r="BG22" s="8">
        <f t="shared" si="21"/>
        <v>27876.7715</v>
      </c>
      <c r="BH22" s="14">
        <v>0</v>
      </c>
      <c r="BI22" s="14">
        <v>0</v>
      </c>
      <c r="BJ22" s="8">
        <f t="shared" si="22"/>
        <v>27876.7715</v>
      </c>
      <c r="BK22" s="9">
        <f t="shared" si="23"/>
        <v>29343.97</v>
      </c>
      <c r="BL22" s="17">
        <f t="shared" si="33"/>
        <v>37251.25</v>
      </c>
      <c r="BM22" s="8">
        <f t="shared" si="24"/>
        <v>29343.97</v>
      </c>
      <c r="BN22" s="8">
        <f>MIN(N22:BM22:BM22)</f>
        <v>0</v>
      </c>
      <c r="BO22" s="8">
        <f t="shared" si="25"/>
        <v>43825</v>
      </c>
    </row>
    <row r="23" spans="1:67" ht="19.5" customHeight="1">
      <c r="A23" s="10">
        <f t="shared" si="44"/>
        <v>22</v>
      </c>
      <c r="B23" s="6">
        <v>99243</v>
      </c>
      <c r="C23" s="11" t="s">
        <v>379</v>
      </c>
      <c r="D23" s="30" t="s">
        <v>293</v>
      </c>
      <c r="E23" s="11" t="s">
        <v>370</v>
      </c>
      <c r="F23" s="46">
        <v>0</v>
      </c>
      <c r="G23" s="39" t="s">
        <v>379</v>
      </c>
      <c r="H23" s="48">
        <v>0</v>
      </c>
      <c r="I23" s="6">
        <v>0</v>
      </c>
      <c r="J23" s="8">
        <v>0</v>
      </c>
      <c r="K23" s="24" t="s">
        <v>115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f>L23</f>
        <v>0</v>
      </c>
      <c r="BC23" s="8">
        <f>L23</f>
        <v>0</v>
      </c>
      <c r="BD23" s="8">
        <f>L23</f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3">
        <f>MIN(N23:BM23:BM23)</f>
        <v>0</v>
      </c>
      <c r="BO23" s="3">
        <f t="shared" si="25"/>
        <v>0</v>
      </c>
    </row>
    <row r="24" spans="1:67" ht="19.5" customHeight="1">
      <c r="A24" s="10">
        <f t="shared" si="44"/>
        <v>23</v>
      </c>
      <c r="B24" s="6">
        <v>99244</v>
      </c>
      <c r="C24" s="11" t="s">
        <v>379</v>
      </c>
      <c r="D24" s="30" t="s">
        <v>294</v>
      </c>
      <c r="E24" s="11" t="s">
        <v>370</v>
      </c>
      <c r="F24" s="46">
        <v>0</v>
      </c>
      <c r="G24" s="39" t="s">
        <v>379</v>
      </c>
      <c r="H24" s="48">
        <v>0</v>
      </c>
      <c r="I24" s="6">
        <v>0</v>
      </c>
      <c r="J24" s="8">
        <v>0</v>
      </c>
      <c r="K24" s="24" t="s">
        <v>115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f aca="true" t="shared" si="45" ref="BB24:BB32">L24</f>
        <v>0</v>
      </c>
      <c r="BC24" s="8">
        <f aca="true" t="shared" si="46" ref="BC24:BC32">L24</f>
        <v>0</v>
      </c>
      <c r="BD24" s="8">
        <f aca="true" t="shared" si="47" ref="BD24:BD32">L24</f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8">
        <v>0</v>
      </c>
      <c r="BM24" s="8">
        <v>0</v>
      </c>
      <c r="BN24" s="3">
        <f>MIN(N24:BM24:BM24)</f>
        <v>0</v>
      </c>
      <c r="BO24" s="3">
        <f t="shared" si="25"/>
        <v>0</v>
      </c>
    </row>
    <row r="25" spans="1:67" ht="19.5" customHeight="1">
      <c r="A25" s="10">
        <f t="shared" si="44"/>
        <v>24</v>
      </c>
      <c r="B25" s="6">
        <v>99385</v>
      </c>
      <c r="C25" s="11" t="s">
        <v>379</v>
      </c>
      <c r="D25" s="30" t="s">
        <v>297</v>
      </c>
      <c r="E25" s="11" t="s">
        <v>370</v>
      </c>
      <c r="F25" s="46">
        <v>0</v>
      </c>
      <c r="G25" s="39" t="s">
        <v>379</v>
      </c>
      <c r="H25" s="48">
        <v>0</v>
      </c>
      <c r="I25" s="6">
        <v>0</v>
      </c>
      <c r="J25" s="8">
        <v>0</v>
      </c>
      <c r="K25" s="24" t="s">
        <v>115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f t="shared" si="45"/>
        <v>0</v>
      </c>
      <c r="BC25" s="8">
        <f t="shared" si="46"/>
        <v>0</v>
      </c>
      <c r="BD25" s="8">
        <f t="shared" si="47"/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3">
        <f>MIN(N25:BM25:BM25)</f>
        <v>0</v>
      </c>
      <c r="BO25" s="3">
        <f t="shared" si="25"/>
        <v>0</v>
      </c>
    </row>
    <row r="26" spans="1:67" ht="19.5" customHeight="1">
      <c r="A26" s="10">
        <f t="shared" si="44"/>
        <v>25</v>
      </c>
      <c r="B26" s="6">
        <v>99386</v>
      </c>
      <c r="C26" s="11" t="s">
        <v>379</v>
      </c>
      <c r="D26" s="30" t="s">
        <v>298</v>
      </c>
      <c r="E26" s="11" t="s">
        <v>370</v>
      </c>
      <c r="F26" s="46">
        <v>0</v>
      </c>
      <c r="G26" s="39" t="s">
        <v>379</v>
      </c>
      <c r="H26" s="48">
        <v>0</v>
      </c>
      <c r="I26" s="6">
        <v>0</v>
      </c>
      <c r="J26" s="8">
        <v>0</v>
      </c>
      <c r="K26" s="24" t="s">
        <v>115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f t="shared" si="45"/>
        <v>0</v>
      </c>
      <c r="BC26" s="8">
        <f t="shared" si="46"/>
        <v>0</v>
      </c>
      <c r="BD26" s="8">
        <f t="shared" si="47"/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3">
        <f>MIN(N26:BM26:BM26)</f>
        <v>0</v>
      </c>
      <c r="BO26" s="3">
        <f t="shared" si="25"/>
        <v>0</v>
      </c>
    </row>
    <row r="27" spans="1:67" ht="19.5" customHeight="1">
      <c r="A27" s="10">
        <f t="shared" si="44"/>
        <v>26</v>
      </c>
      <c r="B27" s="6">
        <v>90832</v>
      </c>
      <c r="C27" s="6">
        <v>9409083200</v>
      </c>
      <c r="D27" s="30" t="s">
        <v>290</v>
      </c>
      <c r="E27" s="11" t="s">
        <v>370</v>
      </c>
      <c r="F27" s="46">
        <v>437.1</v>
      </c>
      <c r="G27" s="6">
        <v>940</v>
      </c>
      <c r="H27" s="48">
        <v>0</v>
      </c>
      <c r="I27" s="6">
        <v>0</v>
      </c>
      <c r="J27" s="8">
        <v>0</v>
      </c>
      <c r="K27" s="24" t="s">
        <v>115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f t="shared" si="45"/>
        <v>0</v>
      </c>
      <c r="BC27" s="8">
        <f t="shared" si="46"/>
        <v>0</v>
      </c>
      <c r="BD27" s="8">
        <f t="shared" si="47"/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3">
        <f>MIN(N27:BM27:BM27)</f>
        <v>0</v>
      </c>
      <c r="BO27" s="3">
        <f t="shared" si="25"/>
        <v>0</v>
      </c>
    </row>
    <row r="28" spans="1:67" ht="19.5" customHeight="1">
      <c r="A28" s="10">
        <f t="shared" si="44"/>
        <v>27</v>
      </c>
      <c r="B28" s="6">
        <v>90834</v>
      </c>
      <c r="C28" s="6">
        <v>9409083400</v>
      </c>
      <c r="D28" s="30" t="s">
        <v>291</v>
      </c>
      <c r="E28" s="11" t="s">
        <v>370</v>
      </c>
      <c r="F28" s="46">
        <v>437.1</v>
      </c>
      <c r="G28" s="6">
        <v>940</v>
      </c>
      <c r="H28" s="48">
        <v>0</v>
      </c>
      <c r="I28" s="6">
        <v>0</v>
      </c>
      <c r="J28" s="8">
        <v>0</v>
      </c>
      <c r="K28" s="24" t="s">
        <v>115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f t="shared" si="45"/>
        <v>0</v>
      </c>
      <c r="BC28" s="8">
        <f t="shared" si="46"/>
        <v>0</v>
      </c>
      <c r="BD28" s="8">
        <f t="shared" si="47"/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3">
        <f>MIN(N28:BM28:BM28)</f>
        <v>0</v>
      </c>
      <c r="BO28" s="3">
        <f t="shared" si="25"/>
        <v>0</v>
      </c>
    </row>
    <row r="29" spans="1:67" ht="19.5" customHeight="1">
      <c r="A29" s="10">
        <f t="shared" si="44"/>
        <v>28</v>
      </c>
      <c r="B29" s="6">
        <v>90837</v>
      </c>
      <c r="C29" s="6">
        <v>9409083700</v>
      </c>
      <c r="D29" s="30" t="s">
        <v>292</v>
      </c>
      <c r="E29" s="11" t="s">
        <v>370</v>
      </c>
      <c r="F29" s="46">
        <v>437.1</v>
      </c>
      <c r="G29" s="6">
        <v>940</v>
      </c>
      <c r="H29" s="48">
        <v>0</v>
      </c>
      <c r="I29" s="6">
        <v>0</v>
      </c>
      <c r="J29" s="8">
        <v>0</v>
      </c>
      <c r="K29" s="24" t="s">
        <v>115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f t="shared" si="45"/>
        <v>0</v>
      </c>
      <c r="BC29" s="8">
        <f t="shared" si="46"/>
        <v>0</v>
      </c>
      <c r="BD29" s="8">
        <f t="shared" si="47"/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3">
        <f>MIN(N29:BM29:BM29)</f>
        <v>0</v>
      </c>
      <c r="BO29" s="3">
        <f t="shared" si="25"/>
        <v>0</v>
      </c>
    </row>
    <row r="30" spans="1:67" ht="19.5" customHeight="1">
      <c r="A30" s="10">
        <f t="shared" si="44"/>
        <v>29</v>
      </c>
      <c r="B30" s="6">
        <v>90846</v>
      </c>
      <c r="C30" s="6">
        <v>9119084600</v>
      </c>
      <c r="D30" s="30" t="s">
        <v>296</v>
      </c>
      <c r="E30" s="11" t="s">
        <v>370</v>
      </c>
      <c r="F30" s="46">
        <v>437.1</v>
      </c>
      <c r="G30" s="6">
        <v>911</v>
      </c>
      <c r="H30" s="48">
        <v>0</v>
      </c>
      <c r="I30" s="6">
        <v>0</v>
      </c>
      <c r="J30" s="8">
        <v>0</v>
      </c>
      <c r="K30" s="24" t="s">
        <v>115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f t="shared" si="45"/>
        <v>0</v>
      </c>
      <c r="BC30" s="8">
        <f t="shared" si="46"/>
        <v>0</v>
      </c>
      <c r="BD30" s="8">
        <f t="shared" si="47"/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3">
        <f>MIN(N30:BM30:BM30)</f>
        <v>0</v>
      </c>
      <c r="BO30" s="3">
        <f t="shared" si="25"/>
        <v>0</v>
      </c>
    </row>
    <row r="31" spans="1:67" ht="19.5" customHeight="1">
      <c r="A31" s="10">
        <f t="shared" si="44"/>
        <v>30</v>
      </c>
      <c r="B31" s="6">
        <v>90847</v>
      </c>
      <c r="C31" s="6">
        <v>9119084700</v>
      </c>
      <c r="D31" s="30" t="s">
        <v>295</v>
      </c>
      <c r="E31" s="11" t="s">
        <v>370</v>
      </c>
      <c r="F31" s="46">
        <v>437.1</v>
      </c>
      <c r="G31" s="6">
        <v>911</v>
      </c>
      <c r="H31" s="48">
        <v>0</v>
      </c>
      <c r="I31" s="6">
        <v>0</v>
      </c>
      <c r="J31" s="8">
        <v>0</v>
      </c>
      <c r="K31" s="24" t="s">
        <v>115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f t="shared" si="45"/>
        <v>0</v>
      </c>
      <c r="BC31" s="8">
        <f t="shared" si="46"/>
        <v>0</v>
      </c>
      <c r="BD31" s="8">
        <f t="shared" si="47"/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3">
        <f>MIN(N31:BM31:BM31)</f>
        <v>0</v>
      </c>
      <c r="BO31" s="3">
        <f t="shared" si="25"/>
        <v>0</v>
      </c>
    </row>
    <row r="32" spans="1:67" ht="19.5" customHeight="1">
      <c r="A32" s="10">
        <f t="shared" si="44"/>
        <v>31</v>
      </c>
      <c r="B32" s="6">
        <v>90853</v>
      </c>
      <c r="C32" s="6">
        <v>9409085300</v>
      </c>
      <c r="D32" s="30" t="s">
        <v>43</v>
      </c>
      <c r="E32" s="11" t="s">
        <v>370</v>
      </c>
      <c r="F32" s="46">
        <v>227.55</v>
      </c>
      <c r="G32" s="6">
        <v>940</v>
      </c>
      <c r="H32" s="48">
        <v>0</v>
      </c>
      <c r="I32" s="6">
        <v>0</v>
      </c>
      <c r="J32" s="8">
        <v>0</v>
      </c>
      <c r="K32" s="24" t="s">
        <v>115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f t="shared" si="45"/>
        <v>0</v>
      </c>
      <c r="BC32" s="8">
        <f t="shared" si="46"/>
        <v>0</v>
      </c>
      <c r="BD32" s="8">
        <f t="shared" si="47"/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3">
        <f>MIN(N32:BM32:BM32)</f>
        <v>0</v>
      </c>
      <c r="BO32" s="3">
        <f t="shared" si="25"/>
        <v>0</v>
      </c>
    </row>
    <row r="33" spans="1:67" ht="19.5" customHeight="1">
      <c r="A33" s="10">
        <f t="shared" si="44"/>
        <v>32</v>
      </c>
      <c r="B33" s="23">
        <v>82785</v>
      </c>
      <c r="C33" s="6" t="s">
        <v>404</v>
      </c>
      <c r="D33" s="30" t="s">
        <v>405</v>
      </c>
      <c r="E33" s="11" t="s">
        <v>371</v>
      </c>
      <c r="F33" s="45">
        <v>49.38</v>
      </c>
      <c r="G33" s="23">
        <v>301</v>
      </c>
      <c r="H33" s="48">
        <v>0</v>
      </c>
      <c r="I33" s="6">
        <v>0</v>
      </c>
      <c r="J33" s="8">
        <f aca="true" t="shared" si="48" ref="J33:J64">L33*1.3</f>
        <v>21.398000000000003</v>
      </c>
      <c r="K33" s="24" t="s">
        <v>386</v>
      </c>
      <c r="L33" s="3">
        <v>16.46</v>
      </c>
      <c r="M33" s="8">
        <v>14.6</v>
      </c>
      <c r="N33" s="8">
        <f>19.7*1.8</f>
        <v>35.46</v>
      </c>
      <c r="O33" s="7">
        <f aca="true" t="shared" si="49" ref="O33:O64">L33</f>
        <v>16.46</v>
      </c>
      <c r="P33" s="8">
        <f>F33*0.65</f>
        <v>32.097</v>
      </c>
      <c r="Q33" s="1">
        <f aca="true" t="shared" si="50" ref="Q33:Q64">L33</f>
        <v>16.46</v>
      </c>
      <c r="R33" s="3">
        <f aca="true" t="shared" si="51" ref="R33:R64">L33*1.1</f>
        <v>18.106</v>
      </c>
      <c r="S33" s="1">
        <f aca="true" t="shared" si="52" ref="S33:S64">L33</f>
        <v>16.46</v>
      </c>
      <c r="T33" s="4">
        <v>24.46</v>
      </c>
      <c r="U33" s="27">
        <v>72.25</v>
      </c>
      <c r="V33" s="1">
        <f aca="true" t="shared" si="53" ref="V33:V64">L33</f>
        <v>16.46</v>
      </c>
      <c r="W33" s="1">
        <f aca="true" t="shared" si="54" ref="W33:W64">L33</f>
        <v>16.46</v>
      </c>
      <c r="X33" s="1">
        <f aca="true" t="shared" si="55" ref="X33:X64">L33</f>
        <v>16.46</v>
      </c>
      <c r="Y33" s="60">
        <v>24.075000000000003</v>
      </c>
      <c r="Z33" s="3">
        <f aca="true" t="shared" si="56" ref="Z33:Z64">L33*0.95</f>
        <v>15.637</v>
      </c>
      <c r="AA33" s="3">
        <f aca="true" t="shared" si="57" ref="AA33:AA64">L33*0.95</f>
        <v>15.637</v>
      </c>
      <c r="AB33" s="1">
        <f aca="true" t="shared" si="58" ref="AB33:AB64">L33</f>
        <v>16.46</v>
      </c>
      <c r="AC33" s="3">
        <f aca="true" t="shared" si="59" ref="AC33:AC64">L33*1.05</f>
        <v>17.283</v>
      </c>
      <c r="AD33" s="1">
        <f aca="true" t="shared" si="60" ref="AD33:AD64">L33</f>
        <v>16.46</v>
      </c>
      <c r="AE33" s="1">
        <f aca="true" t="shared" si="61" ref="AE33:AE64">L33</f>
        <v>16.46</v>
      </c>
      <c r="AF33" s="3">
        <f aca="true" t="shared" si="62" ref="AF33:AF64">L33*0.92</f>
        <v>15.143200000000002</v>
      </c>
      <c r="AG33" s="3">
        <f aca="true" t="shared" si="63" ref="AG33:AG64">F33*0.7</f>
        <v>34.566</v>
      </c>
      <c r="AH33" s="8">
        <f>L33</f>
        <v>16.46</v>
      </c>
      <c r="AI33" s="8">
        <f>L33</f>
        <v>16.46</v>
      </c>
      <c r="AJ33" s="3">
        <f aca="true" t="shared" si="64" ref="AJ33:AJ64">L33*1.36</f>
        <v>22.385600000000004</v>
      </c>
      <c r="AK33" s="1">
        <f aca="true" t="shared" si="65" ref="AK33:AK64">L33</f>
        <v>16.46</v>
      </c>
      <c r="AL33" s="1">
        <f aca="true" t="shared" si="66" ref="AL33:AL64">L33</f>
        <v>16.46</v>
      </c>
      <c r="AM33" s="7">
        <f aca="true" t="shared" si="67" ref="AM33:AM64">L33</f>
        <v>16.46</v>
      </c>
      <c r="AN33" s="7">
        <f aca="true" t="shared" si="68" ref="AN33:AN64">L33</f>
        <v>16.46</v>
      </c>
      <c r="AO33" s="1">
        <f aca="true" t="shared" si="69" ref="AO33:AO64">M33</f>
        <v>14.6</v>
      </c>
      <c r="AP33" s="3">
        <f>F33*0.6</f>
        <v>29.628</v>
      </c>
      <c r="AQ33" s="7">
        <f aca="true" t="shared" si="70" ref="AQ33:AQ64">F33*0.5</f>
        <v>24.69</v>
      </c>
      <c r="AR33" s="1">
        <f>M33*2.5</f>
        <v>36.5</v>
      </c>
      <c r="AS33" s="4">
        <f aca="true" t="shared" si="71" ref="AS33:AS64">L33</f>
        <v>16.46</v>
      </c>
      <c r="AT33" s="3">
        <f aca="true" t="shared" si="72" ref="AT33:AT64">F33*0.4</f>
        <v>19.752000000000002</v>
      </c>
      <c r="AU33" s="3">
        <f>M33*1.1</f>
        <v>16.060000000000002</v>
      </c>
      <c r="AV33" s="1">
        <f aca="true" t="shared" si="73" ref="AV33:AV64">L33</f>
        <v>16.46</v>
      </c>
      <c r="AW33" s="3">
        <f aca="true" t="shared" si="74" ref="AW33:AW76">L33*0.95</f>
        <v>15.637</v>
      </c>
      <c r="AX33" s="3" t="str">
        <f aca="true" t="shared" si="75" ref="AX33:AX64">CONCATENATE(ROUND(L33*0.88,2)," ",K33)</f>
        <v>14.48 Per Unit</v>
      </c>
      <c r="AY33" s="3">
        <f aca="true" t="shared" si="76" ref="AY33:AY64">L33</f>
        <v>16.46</v>
      </c>
      <c r="AZ33" s="1">
        <f>L33</f>
        <v>16.46</v>
      </c>
      <c r="BA33" s="3">
        <f>L33</f>
        <v>16.46</v>
      </c>
      <c r="BB33" s="3">
        <f>L33</f>
        <v>16.46</v>
      </c>
      <c r="BC33" s="3">
        <f>L33*1.1</f>
        <v>18.106</v>
      </c>
      <c r="BD33" s="3">
        <f>L33*0.9</f>
        <v>14.814000000000002</v>
      </c>
      <c r="BE33" s="1">
        <f aca="true" t="shared" si="77" ref="BE33:BE64">F33*0.85</f>
        <v>41.973</v>
      </c>
      <c r="BF33" s="1">
        <f aca="true" t="shared" si="78" ref="BF33:BF64">L33</f>
        <v>16.46</v>
      </c>
      <c r="BG33" s="8" t="str">
        <f aca="true" t="shared" si="79" ref="BG33:BG64">CONCATENATE(ROUND(L33*0.95,2)," ",K33)</f>
        <v>15.64 Per Unit</v>
      </c>
      <c r="BH33" s="61">
        <f aca="true" t="shared" si="80" ref="BH33:BH66">L33*1.2</f>
        <v>19.752</v>
      </c>
      <c r="BI33" s="1">
        <f aca="true" t="shared" si="81" ref="BI33:BI66">L33</f>
        <v>16.46</v>
      </c>
      <c r="BJ33" s="3">
        <f aca="true" t="shared" si="82" ref="BJ33:BJ64">L33*0.95</f>
        <v>15.637</v>
      </c>
      <c r="BK33" s="1">
        <f aca="true" t="shared" si="83" ref="BK33:BK64">L33</f>
        <v>16.46</v>
      </c>
      <c r="BL33" s="26">
        <v>14.81</v>
      </c>
      <c r="BM33" s="8">
        <f aca="true" t="shared" si="84" ref="BM33:BM64">L33</f>
        <v>16.46</v>
      </c>
      <c r="BN33" s="8">
        <f>MIN(N33:BM33:BM33)</f>
        <v>14.6</v>
      </c>
      <c r="BO33" s="8">
        <f t="shared" si="25"/>
        <v>72.25</v>
      </c>
    </row>
    <row r="34" spans="1:67" ht="19.5" customHeight="1">
      <c r="A34" s="10">
        <f t="shared" si="44"/>
        <v>33</v>
      </c>
      <c r="B34" s="10">
        <v>80158</v>
      </c>
      <c r="C34" s="6">
        <v>3008015800</v>
      </c>
      <c r="D34" s="29" t="s">
        <v>12</v>
      </c>
      <c r="E34" s="11" t="s">
        <v>371</v>
      </c>
      <c r="F34" s="45">
        <v>54.15</v>
      </c>
      <c r="G34" s="23">
        <v>300</v>
      </c>
      <c r="H34" s="48">
        <v>0</v>
      </c>
      <c r="I34" s="6">
        <v>0</v>
      </c>
      <c r="J34" s="8">
        <f t="shared" si="48"/>
        <v>23.465000000000003</v>
      </c>
      <c r="K34" s="24" t="s">
        <v>386</v>
      </c>
      <c r="L34" s="3">
        <v>18.05</v>
      </c>
      <c r="M34" s="26">
        <v>16.04</v>
      </c>
      <c r="N34" s="8">
        <f>21.59*1.8</f>
        <v>38.862</v>
      </c>
      <c r="O34" s="7">
        <f t="shared" si="49"/>
        <v>18.05</v>
      </c>
      <c r="P34" s="8">
        <f>F34*0.65</f>
        <v>35.1975</v>
      </c>
      <c r="Q34" s="1">
        <f t="shared" si="50"/>
        <v>18.05</v>
      </c>
      <c r="R34" s="3">
        <f t="shared" si="51"/>
        <v>19.855000000000004</v>
      </c>
      <c r="S34" s="1">
        <f t="shared" si="52"/>
        <v>18.05</v>
      </c>
      <c r="T34" s="4">
        <v>26.82</v>
      </c>
      <c r="U34" s="27">
        <f>25.2299995422363*3.14</f>
        <v>79.22219856262198</v>
      </c>
      <c r="V34" s="1">
        <f t="shared" si="53"/>
        <v>18.05</v>
      </c>
      <c r="W34" s="1">
        <f t="shared" si="54"/>
        <v>18.05</v>
      </c>
      <c r="X34" s="1">
        <f t="shared" si="55"/>
        <v>18.05</v>
      </c>
      <c r="Y34" s="3">
        <v>26.4</v>
      </c>
      <c r="Z34" s="3">
        <f t="shared" si="56"/>
        <v>17.1475</v>
      </c>
      <c r="AA34" s="3">
        <f t="shared" si="57"/>
        <v>17.1475</v>
      </c>
      <c r="AB34" s="1">
        <f t="shared" si="58"/>
        <v>18.05</v>
      </c>
      <c r="AC34" s="3">
        <f t="shared" si="59"/>
        <v>18.9525</v>
      </c>
      <c r="AD34" s="1">
        <f t="shared" si="60"/>
        <v>18.05</v>
      </c>
      <c r="AE34" s="1">
        <f t="shared" si="61"/>
        <v>18.05</v>
      </c>
      <c r="AF34" s="3">
        <f t="shared" si="62"/>
        <v>16.606</v>
      </c>
      <c r="AG34" s="3">
        <f t="shared" si="63"/>
        <v>37.904999999999994</v>
      </c>
      <c r="AH34" s="8">
        <f>L34</f>
        <v>18.05</v>
      </c>
      <c r="AI34" s="8">
        <f aca="true" t="shared" si="85" ref="AI34:AI97">L34</f>
        <v>18.05</v>
      </c>
      <c r="AJ34" s="3">
        <f t="shared" si="64"/>
        <v>24.548000000000002</v>
      </c>
      <c r="AK34" s="1">
        <f t="shared" si="65"/>
        <v>18.05</v>
      </c>
      <c r="AL34" s="1">
        <f t="shared" si="66"/>
        <v>18.05</v>
      </c>
      <c r="AM34" s="7">
        <f t="shared" si="67"/>
        <v>18.05</v>
      </c>
      <c r="AN34" s="7">
        <f t="shared" si="68"/>
        <v>18.05</v>
      </c>
      <c r="AO34" s="1">
        <f t="shared" si="69"/>
        <v>16.04</v>
      </c>
      <c r="AP34" s="3">
        <f>F34*0.6</f>
        <v>32.489999999999995</v>
      </c>
      <c r="AQ34" s="7">
        <f t="shared" si="70"/>
        <v>27.075</v>
      </c>
      <c r="AR34" s="1">
        <f aca="true" t="shared" si="86" ref="AR34:AR97">M34*2.5</f>
        <v>40.099999999999994</v>
      </c>
      <c r="AS34" s="4">
        <f t="shared" si="71"/>
        <v>18.05</v>
      </c>
      <c r="AT34" s="3">
        <f t="shared" si="72"/>
        <v>21.66</v>
      </c>
      <c r="AU34" s="3">
        <f>M34*1.1</f>
        <v>17.644000000000002</v>
      </c>
      <c r="AV34" s="1">
        <f t="shared" si="73"/>
        <v>18.05</v>
      </c>
      <c r="AW34" s="3">
        <f t="shared" si="74"/>
        <v>17.1475</v>
      </c>
      <c r="AX34" s="3" t="str">
        <f t="shared" si="75"/>
        <v>15.88 Per Unit</v>
      </c>
      <c r="AY34" s="2">
        <f t="shared" si="76"/>
        <v>18.05</v>
      </c>
      <c r="AZ34" s="1">
        <f aca="true" t="shared" si="87" ref="AZ34:AZ97">L34</f>
        <v>18.05</v>
      </c>
      <c r="BA34" s="3">
        <f aca="true" t="shared" si="88" ref="BA34:BA97">L34</f>
        <v>18.05</v>
      </c>
      <c r="BB34" s="3">
        <f aca="true" t="shared" si="89" ref="BB34:BB97">L34</f>
        <v>18.05</v>
      </c>
      <c r="BC34" s="3">
        <f aca="true" t="shared" si="90" ref="BC34:BC97">L34*1.1</f>
        <v>19.855000000000004</v>
      </c>
      <c r="BD34" s="3">
        <f aca="true" t="shared" si="91" ref="BD34:BD97">L34*0.9</f>
        <v>16.245</v>
      </c>
      <c r="BE34" s="1">
        <f t="shared" si="77"/>
        <v>46.027499999999996</v>
      </c>
      <c r="BF34" s="1">
        <f t="shared" si="78"/>
        <v>18.05</v>
      </c>
      <c r="BG34" s="8" t="str">
        <f t="shared" si="79"/>
        <v>17.15 Per Unit</v>
      </c>
      <c r="BH34" s="61">
        <f t="shared" si="80"/>
        <v>21.66</v>
      </c>
      <c r="BI34" s="1">
        <f t="shared" si="81"/>
        <v>18.05</v>
      </c>
      <c r="BJ34" s="3">
        <f t="shared" si="82"/>
        <v>17.1475</v>
      </c>
      <c r="BK34" s="1">
        <f t="shared" si="83"/>
        <v>18.05</v>
      </c>
      <c r="BL34" s="26">
        <v>16.25</v>
      </c>
      <c r="BM34" s="8">
        <f t="shared" si="84"/>
        <v>18.05</v>
      </c>
      <c r="BN34" s="8">
        <f>MIN(N34:BM34)</f>
        <v>16.04</v>
      </c>
      <c r="BO34" s="8">
        <f aca="true" t="shared" si="92" ref="BO34:BO65">MAX(N34:BM34)</f>
        <v>79.22219856262198</v>
      </c>
    </row>
    <row r="35" spans="1:67" ht="19.5" customHeight="1">
      <c r="A35" s="10">
        <f t="shared" si="44"/>
        <v>34</v>
      </c>
      <c r="B35" s="23">
        <v>82533</v>
      </c>
      <c r="C35" s="6">
        <v>3018253300</v>
      </c>
      <c r="D35" s="29" t="s">
        <v>27</v>
      </c>
      <c r="E35" s="11" t="s">
        <v>371</v>
      </c>
      <c r="F35" s="45">
        <v>48.9</v>
      </c>
      <c r="G35" s="23">
        <v>301</v>
      </c>
      <c r="H35" s="48">
        <v>0</v>
      </c>
      <c r="I35" s="6">
        <v>0</v>
      </c>
      <c r="J35" s="8">
        <f t="shared" si="48"/>
        <v>21.19</v>
      </c>
      <c r="K35" s="24" t="s">
        <v>386</v>
      </c>
      <c r="L35" s="3">
        <v>16.3</v>
      </c>
      <c r="M35" s="3">
        <v>14.49</v>
      </c>
      <c r="N35" s="17">
        <f>19.51*1.8</f>
        <v>35.118</v>
      </c>
      <c r="O35" s="8">
        <f t="shared" si="49"/>
        <v>16.3</v>
      </c>
      <c r="P35" s="7">
        <f aca="true" t="shared" si="93" ref="P35:P66">F35*0.65</f>
        <v>31.785</v>
      </c>
      <c r="Q35" s="1">
        <f t="shared" si="50"/>
        <v>16.3</v>
      </c>
      <c r="R35" s="4">
        <f t="shared" si="51"/>
        <v>17.930000000000003</v>
      </c>
      <c r="S35" s="1">
        <f t="shared" si="52"/>
        <v>16.3</v>
      </c>
      <c r="T35" s="1">
        <v>24.24</v>
      </c>
      <c r="U35" s="27">
        <f>22.78*3.14</f>
        <v>71.5292</v>
      </c>
      <c r="V35" s="3">
        <f t="shared" si="53"/>
        <v>16.3</v>
      </c>
      <c r="W35" s="3">
        <f t="shared" si="54"/>
        <v>16.3</v>
      </c>
      <c r="X35" s="3">
        <f t="shared" si="55"/>
        <v>16.3</v>
      </c>
      <c r="Y35" s="3">
        <v>23.85</v>
      </c>
      <c r="Z35" s="3">
        <f t="shared" si="56"/>
        <v>15.485</v>
      </c>
      <c r="AA35" s="3">
        <f t="shared" si="57"/>
        <v>15.485</v>
      </c>
      <c r="AB35" s="3">
        <f t="shared" si="58"/>
        <v>16.3</v>
      </c>
      <c r="AC35" s="4">
        <f t="shared" si="59"/>
        <v>17.115000000000002</v>
      </c>
      <c r="AD35" s="3">
        <f t="shared" si="60"/>
        <v>16.3</v>
      </c>
      <c r="AE35" s="3">
        <f t="shared" si="61"/>
        <v>16.3</v>
      </c>
      <c r="AF35" s="3">
        <f t="shared" si="62"/>
        <v>14.996</v>
      </c>
      <c r="AG35" s="4">
        <f t="shared" si="63"/>
        <v>34.23</v>
      </c>
      <c r="AH35" s="8">
        <f aca="true" t="shared" si="94" ref="AH35:AH98">L35</f>
        <v>16.3</v>
      </c>
      <c r="AI35" s="8">
        <f t="shared" si="85"/>
        <v>16.3</v>
      </c>
      <c r="AJ35" s="4">
        <f t="shared" si="64"/>
        <v>22.168000000000003</v>
      </c>
      <c r="AK35" s="1">
        <f t="shared" si="65"/>
        <v>16.3</v>
      </c>
      <c r="AL35" s="1">
        <f t="shared" si="66"/>
        <v>16.3</v>
      </c>
      <c r="AM35" s="2">
        <f t="shared" si="67"/>
        <v>16.3</v>
      </c>
      <c r="AN35" s="2">
        <f t="shared" si="68"/>
        <v>16.3</v>
      </c>
      <c r="AO35" s="3">
        <f t="shared" si="69"/>
        <v>14.49</v>
      </c>
      <c r="AP35" s="3">
        <f aca="true" t="shared" si="95" ref="AP35:AP66">L35</f>
        <v>16.3</v>
      </c>
      <c r="AQ35" s="7">
        <f t="shared" si="70"/>
        <v>24.45</v>
      </c>
      <c r="AR35" s="1">
        <f t="shared" si="86"/>
        <v>36.225</v>
      </c>
      <c r="AS35" s="1">
        <f t="shared" si="71"/>
        <v>16.3</v>
      </c>
      <c r="AT35" s="3">
        <f t="shared" si="72"/>
        <v>19.560000000000002</v>
      </c>
      <c r="AU35" s="3">
        <f>M35*1.1</f>
        <v>15.939000000000002</v>
      </c>
      <c r="AV35" s="1">
        <f t="shared" si="73"/>
        <v>16.3</v>
      </c>
      <c r="AW35" s="4">
        <f t="shared" si="74"/>
        <v>15.485</v>
      </c>
      <c r="AX35" s="3" t="str">
        <f t="shared" si="75"/>
        <v>14.34 Per Unit</v>
      </c>
      <c r="AY35" s="3">
        <f t="shared" si="76"/>
        <v>16.3</v>
      </c>
      <c r="AZ35" s="1">
        <f t="shared" si="87"/>
        <v>16.3</v>
      </c>
      <c r="BA35" s="3">
        <f t="shared" si="88"/>
        <v>16.3</v>
      </c>
      <c r="BB35" s="3">
        <f t="shared" si="89"/>
        <v>16.3</v>
      </c>
      <c r="BC35" s="3">
        <f t="shared" si="90"/>
        <v>17.930000000000003</v>
      </c>
      <c r="BD35" s="3">
        <f t="shared" si="91"/>
        <v>14.670000000000002</v>
      </c>
      <c r="BE35" s="3">
        <f t="shared" si="77"/>
        <v>41.565</v>
      </c>
      <c r="BF35" s="1">
        <f t="shared" si="78"/>
        <v>16.3</v>
      </c>
      <c r="BG35" s="8" t="str">
        <f t="shared" si="79"/>
        <v>15.49 Per Unit</v>
      </c>
      <c r="BH35" s="61">
        <f t="shared" si="80"/>
        <v>19.56</v>
      </c>
      <c r="BI35" s="1">
        <f t="shared" si="81"/>
        <v>16.3</v>
      </c>
      <c r="BJ35" s="3">
        <f t="shared" si="82"/>
        <v>15.485</v>
      </c>
      <c r="BK35" s="1">
        <f t="shared" si="83"/>
        <v>16.3</v>
      </c>
      <c r="BL35" s="3">
        <v>14.670000000000002</v>
      </c>
      <c r="BM35" s="8">
        <f t="shared" si="84"/>
        <v>16.3</v>
      </c>
      <c r="BN35" s="3">
        <f>MIN(N35:BM35)</f>
        <v>14.49</v>
      </c>
      <c r="BO35" s="3">
        <f t="shared" si="92"/>
        <v>71.5292</v>
      </c>
    </row>
    <row r="36" spans="1:67" ht="19.5" customHeight="1">
      <c r="A36" s="10">
        <f t="shared" si="44"/>
        <v>35</v>
      </c>
      <c r="B36" s="10">
        <v>36415</v>
      </c>
      <c r="C36" s="6">
        <v>3003641500</v>
      </c>
      <c r="D36" s="30" t="s">
        <v>178</v>
      </c>
      <c r="E36" s="11" t="s">
        <v>371</v>
      </c>
      <c r="F36" s="45">
        <v>27</v>
      </c>
      <c r="G36" s="23">
        <v>300</v>
      </c>
      <c r="H36" s="48">
        <v>0</v>
      </c>
      <c r="I36" s="6">
        <v>0</v>
      </c>
      <c r="J36" s="8">
        <f t="shared" si="48"/>
        <v>3.9000000000000004</v>
      </c>
      <c r="K36" s="24" t="s">
        <v>386</v>
      </c>
      <c r="L36" s="3">
        <v>3</v>
      </c>
      <c r="M36" s="14">
        <v>0</v>
      </c>
      <c r="N36" s="17">
        <f>2.64*1.8</f>
        <v>4.752000000000001</v>
      </c>
      <c r="O36" s="8">
        <f t="shared" si="49"/>
        <v>3</v>
      </c>
      <c r="P36" s="7">
        <f t="shared" si="93"/>
        <v>17.55</v>
      </c>
      <c r="Q36" s="1">
        <f t="shared" si="50"/>
        <v>3</v>
      </c>
      <c r="R36" s="4">
        <f t="shared" si="51"/>
        <v>3.3000000000000003</v>
      </c>
      <c r="S36" s="1">
        <f t="shared" si="52"/>
        <v>3</v>
      </c>
      <c r="T36" s="4">
        <v>3.3</v>
      </c>
      <c r="U36" s="27">
        <f>3*3.14</f>
        <v>9.42</v>
      </c>
      <c r="V36" s="3">
        <f t="shared" si="53"/>
        <v>3</v>
      </c>
      <c r="W36" s="3">
        <f t="shared" si="54"/>
        <v>3</v>
      </c>
      <c r="X36" s="3">
        <f t="shared" si="55"/>
        <v>3</v>
      </c>
      <c r="Y36" s="3">
        <v>4.4</v>
      </c>
      <c r="Z36" s="3">
        <f t="shared" si="56"/>
        <v>2.8499999999999996</v>
      </c>
      <c r="AA36" s="3">
        <f t="shared" si="57"/>
        <v>2.8499999999999996</v>
      </c>
      <c r="AB36" s="3">
        <f t="shared" si="58"/>
        <v>3</v>
      </c>
      <c r="AC36" s="4">
        <f t="shared" si="59"/>
        <v>3.1500000000000004</v>
      </c>
      <c r="AD36" s="3">
        <f t="shared" si="60"/>
        <v>3</v>
      </c>
      <c r="AE36" s="3">
        <f t="shared" si="61"/>
        <v>3</v>
      </c>
      <c r="AF36" s="3">
        <f t="shared" si="62"/>
        <v>2.7600000000000002</v>
      </c>
      <c r="AG36" s="4">
        <f t="shared" si="63"/>
        <v>18.9</v>
      </c>
      <c r="AH36" s="8">
        <f t="shared" si="94"/>
        <v>3</v>
      </c>
      <c r="AI36" s="8">
        <f t="shared" si="85"/>
        <v>3</v>
      </c>
      <c r="AJ36" s="4">
        <f t="shared" si="64"/>
        <v>4.08</v>
      </c>
      <c r="AK36" s="1">
        <f t="shared" si="65"/>
        <v>3</v>
      </c>
      <c r="AL36" s="1">
        <f t="shared" si="66"/>
        <v>3</v>
      </c>
      <c r="AM36" s="2">
        <f t="shared" si="67"/>
        <v>3</v>
      </c>
      <c r="AN36" s="2">
        <f t="shared" si="68"/>
        <v>3</v>
      </c>
      <c r="AO36" s="3">
        <f t="shared" si="69"/>
        <v>0</v>
      </c>
      <c r="AP36" s="3">
        <f t="shared" si="95"/>
        <v>3</v>
      </c>
      <c r="AQ36" s="7">
        <f t="shared" si="70"/>
        <v>13.5</v>
      </c>
      <c r="AR36" s="1">
        <f t="shared" si="86"/>
        <v>0</v>
      </c>
      <c r="AS36" s="1">
        <f t="shared" si="71"/>
        <v>3</v>
      </c>
      <c r="AT36" s="3">
        <f t="shared" si="72"/>
        <v>10.8</v>
      </c>
      <c r="AU36" s="3">
        <f>M36</f>
        <v>0</v>
      </c>
      <c r="AV36" s="1">
        <f t="shared" si="73"/>
        <v>3</v>
      </c>
      <c r="AW36" s="4">
        <f t="shared" si="74"/>
        <v>2.8499999999999996</v>
      </c>
      <c r="AX36" s="3" t="str">
        <f t="shared" si="75"/>
        <v>2.64 Per Unit</v>
      </c>
      <c r="AY36" s="3">
        <f t="shared" si="76"/>
        <v>3</v>
      </c>
      <c r="AZ36" s="1">
        <f t="shared" si="87"/>
        <v>3</v>
      </c>
      <c r="BA36" s="3">
        <f t="shared" si="88"/>
        <v>3</v>
      </c>
      <c r="BB36" s="3">
        <f t="shared" si="89"/>
        <v>3</v>
      </c>
      <c r="BC36" s="3">
        <f t="shared" si="90"/>
        <v>3.3000000000000003</v>
      </c>
      <c r="BD36" s="3">
        <f t="shared" si="91"/>
        <v>2.7</v>
      </c>
      <c r="BE36" s="3">
        <f t="shared" si="77"/>
        <v>22.95</v>
      </c>
      <c r="BF36" s="1">
        <f t="shared" si="78"/>
        <v>3</v>
      </c>
      <c r="BG36" s="8" t="str">
        <f t="shared" si="79"/>
        <v>2.85 Per Unit</v>
      </c>
      <c r="BH36" s="4">
        <f t="shared" si="80"/>
        <v>3.5999999999999996</v>
      </c>
      <c r="BI36" s="1">
        <f t="shared" si="81"/>
        <v>3</v>
      </c>
      <c r="BJ36" s="3">
        <f t="shared" si="82"/>
        <v>2.8499999999999996</v>
      </c>
      <c r="BK36" s="1">
        <f t="shared" si="83"/>
        <v>3</v>
      </c>
      <c r="BL36" s="3">
        <v>2.7</v>
      </c>
      <c r="BM36" s="8">
        <f t="shared" si="84"/>
        <v>3</v>
      </c>
      <c r="BN36" s="3">
        <f>MIN(N36:BM36)</f>
        <v>0</v>
      </c>
      <c r="BO36" s="3">
        <f t="shared" si="92"/>
        <v>22.95</v>
      </c>
    </row>
    <row r="37" spans="1:67" ht="19.5" customHeight="1">
      <c r="A37" s="10">
        <f t="shared" si="44"/>
        <v>36</v>
      </c>
      <c r="B37" s="23">
        <v>82728</v>
      </c>
      <c r="C37" s="6">
        <v>3018272800</v>
      </c>
      <c r="D37" s="30" t="s">
        <v>200</v>
      </c>
      <c r="E37" s="11" t="s">
        <v>371</v>
      </c>
      <c r="F37" s="45">
        <v>40.89</v>
      </c>
      <c r="G37" s="23">
        <v>301</v>
      </c>
      <c r="H37" s="48">
        <v>0</v>
      </c>
      <c r="I37" s="6">
        <v>0</v>
      </c>
      <c r="J37" s="8">
        <f t="shared" si="48"/>
        <v>17.719</v>
      </c>
      <c r="K37" s="24" t="s">
        <v>386</v>
      </c>
      <c r="L37" s="3">
        <v>13.63</v>
      </c>
      <c r="M37" s="3">
        <v>12.07</v>
      </c>
      <c r="N37" s="17">
        <f>16.29*1.8</f>
        <v>29.322</v>
      </c>
      <c r="O37" s="8">
        <f t="shared" si="49"/>
        <v>13.63</v>
      </c>
      <c r="P37" s="7">
        <f t="shared" si="93"/>
        <v>26.578500000000002</v>
      </c>
      <c r="Q37" s="1">
        <f t="shared" si="50"/>
        <v>13.63</v>
      </c>
      <c r="R37" s="4">
        <f t="shared" si="51"/>
        <v>14.993000000000002</v>
      </c>
      <c r="S37" s="1">
        <f t="shared" si="52"/>
        <v>13.63</v>
      </c>
      <c r="T37" s="1">
        <v>20.24</v>
      </c>
      <c r="U37" s="27">
        <f>19.03*3.14</f>
        <v>59.754200000000004</v>
      </c>
      <c r="V37" s="3">
        <f t="shared" si="53"/>
        <v>13.63</v>
      </c>
      <c r="W37" s="3">
        <f t="shared" si="54"/>
        <v>13.63</v>
      </c>
      <c r="X37" s="3">
        <f t="shared" si="55"/>
        <v>13.63</v>
      </c>
      <c r="Y37" s="3">
        <v>19.94</v>
      </c>
      <c r="Z37" s="3">
        <f t="shared" si="56"/>
        <v>12.948500000000001</v>
      </c>
      <c r="AA37" s="3">
        <f t="shared" si="57"/>
        <v>12.948500000000001</v>
      </c>
      <c r="AB37" s="3">
        <f t="shared" si="58"/>
        <v>13.63</v>
      </c>
      <c r="AC37" s="4">
        <f t="shared" si="59"/>
        <v>14.3115</v>
      </c>
      <c r="AD37" s="3">
        <f t="shared" si="60"/>
        <v>13.63</v>
      </c>
      <c r="AE37" s="3">
        <f t="shared" si="61"/>
        <v>13.63</v>
      </c>
      <c r="AF37" s="3">
        <f t="shared" si="62"/>
        <v>12.539600000000002</v>
      </c>
      <c r="AG37" s="4">
        <f t="shared" si="63"/>
        <v>28.622999999999998</v>
      </c>
      <c r="AH37" s="8">
        <f t="shared" si="94"/>
        <v>13.63</v>
      </c>
      <c r="AI37" s="8">
        <f t="shared" si="85"/>
        <v>13.63</v>
      </c>
      <c r="AJ37" s="4">
        <f t="shared" si="64"/>
        <v>18.536800000000003</v>
      </c>
      <c r="AK37" s="1">
        <f t="shared" si="65"/>
        <v>13.63</v>
      </c>
      <c r="AL37" s="1">
        <f t="shared" si="66"/>
        <v>13.63</v>
      </c>
      <c r="AM37" s="2">
        <f t="shared" si="67"/>
        <v>13.63</v>
      </c>
      <c r="AN37" s="2">
        <f t="shared" si="68"/>
        <v>13.63</v>
      </c>
      <c r="AO37" s="3">
        <f t="shared" si="69"/>
        <v>12.07</v>
      </c>
      <c r="AP37" s="3">
        <f t="shared" si="95"/>
        <v>13.63</v>
      </c>
      <c r="AQ37" s="7">
        <f t="shared" si="70"/>
        <v>20.445</v>
      </c>
      <c r="AR37" s="1">
        <f t="shared" si="86"/>
        <v>30.175</v>
      </c>
      <c r="AS37" s="1">
        <f t="shared" si="71"/>
        <v>13.63</v>
      </c>
      <c r="AT37" s="3">
        <f t="shared" si="72"/>
        <v>16.356</v>
      </c>
      <c r="AU37" s="3">
        <f aca="true" t="shared" si="96" ref="AU37:AU68">M37*1.1</f>
        <v>13.277000000000001</v>
      </c>
      <c r="AV37" s="1">
        <f t="shared" si="73"/>
        <v>13.63</v>
      </c>
      <c r="AW37" s="4">
        <f t="shared" si="74"/>
        <v>12.948500000000001</v>
      </c>
      <c r="AX37" s="3" t="str">
        <f t="shared" si="75"/>
        <v>11.99 Per Unit</v>
      </c>
      <c r="AY37" s="3">
        <f t="shared" si="76"/>
        <v>13.63</v>
      </c>
      <c r="AZ37" s="1">
        <f t="shared" si="87"/>
        <v>13.63</v>
      </c>
      <c r="BA37" s="3">
        <f t="shared" si="88"/>
        <v>13.63</v>
      </c>
      <c r="BB37" s="3">
        <f t="shared" si="89"/>
        <v>13.63</v>
      </c>
      <c r="BC37" s="3">
        <f t="shared" si="90"/>
        <v>14.993000000000002</v>
      </c>
      <c r="BD37" s="3">
        <f t="shared" si="91"/>
        <v>12.267000000000001</v>
      </c>
      <c r="BE37" s="3">
        <f t="shared" si="77"/>
        <v>34.7565</v>
      </c>
      <c r="BF37" s="1">
        <f t="shared" si="78"/>
        <v>13.63</v>
      </c>
      <c r="BG37" s="8" t="str">
        <f t="shared" si="79"/>
        <v>12.95 Per Unit</v>
      </c>
      <c r="BH37" s="4">
        <f t="shared" si="80"/>
        <v>16.356</v>
      </c>
      <c r="BI37" s="1">
        <f t="shared" si="81"/>
        <v>13.63</v>
      </c>
      <c r="BJ37" s="3">
        <f t="shared" si="82"/>
        <v>12.948500000000001</v>
      </c>
      <c r="BK37" s="1">
        <f t="shared" si="83"/>
        <v>13.63</v>
      </c>
      <c r="BL37" s="3">
        <v>12.267000000000001</v>
      </c>
      <c r="BM37" s="8">
        <f t="shared" si="84"/>
        <v>13.63</v>
      </c>
      <c r="BN37" s="3">
        <f>MIN(N37:BM37:BM37)</f>
        <v>12.07</v>
      </c>
      <c r="BO37" s="3">
        <f t="shared" si="92"/>
        <v>59.754200000000004</v>
      </c>
    </row>
    <row r="38" spans="1:67" ht="19.5" customHeight="1">
      <c r="A38" s="10">
        <f t="shared" si="44"/>
        <v>37</v>
      </c>
      <c r="B38" s="6">
        <v>83003</v>
      </c>
      <c r="C38" s="6">
        <v>3018300300</v>
      </c>
      <c r="D38" s="29" t="s">
        <v>28</v>
      </c>
      <c r="E38" s="11" t="s">
        <v>371</v>
      </c>
      <c r="F38" s="45">
        <v>50.01</v>
      </c>
      <c r="G38" s="23">
        <v>301</v>
      </c>
      <c r="H38" s="48">
        <v>0</v>
      </c>
      <c r="I38" s="6">
        <v>0</v>
      </c>
      <c r="J38" s="8">
        <f t="shared" si="48"/>
        <v>21.671000000000003</v>
      </c>
      <c r="K38" s="24" t="s">
        <v>386</v>
      </c>
      <c r="L38" s="3">
        <v>16.67</v>
      </c>
      <c r="M38" s="3">
        <v>14.82</v>
      </c>
      <c r="N38" s="17">
        <f>19.95*1.8</f>
        <v>35.91</v>
      </c>
      <c r="O38" s="8">
        <f t="shared" si="49"/>
        <v>16.67</v>
      </c>
      <c r="P38" s="7">
        <f t="shared" si="93"/>
        <v>32.5065</v>
      </c>
      <c r="Q38" s="1">
        <f t="shared" si="50"/>
        <v>16.67</v>
      </c>
      <c r="R38" s="4">
        <f t="shared" si="51"/>
        <v>18.337000000000003</v>
      </c>
      <c r="S38" s="1">
        <f t="shared" si="52"/>
        <v>16.67</v>
      </c>
      <c r="T38" s="1">
        <v>24.75</v>
      </c>
      <c r="U38" s="27">
        <f>23.29*3.14</f>
        <v>73.1306</v>
      </c>
      <c r="V38" s="3">
        <f t="shared" si="53"/>
        <v>16.67</v>
      </c>
      <c r="W38" s="3">
        <f t="shared" si="54"/>
        <v>16.67</v>
      </c>
      <c r="X38" s="3">
        <f t="shared" si="55"/>
        <v>16.67</v>
      </c>
      <c r="Y38" s="3">
        <v>24.39</v>
      </c>
      <c r="Z38" s="3">
        <f t="shared" si="56"/>
        <v>15.836500000000001</v>
      </c>
      <c r="AA38" s="3">
        <f t="shared" si="57"/>
        <v>15.836500000000001</v>
      </c>
      <c r="AB38" s="3">
        <f t="shared" si="58"/>
        <v>16.67</v>
      </c>
      <c r="AC38" s="4">
        <f t="shared" si="59"/>
        <v>17.503500000000003</v>
      </c>
      <c r="AD38" s="3">
        <f t="shared" si="60"/>
        <v>16.67</v>
      </c>
      <c r="AE38" s="3">
        <f t="shared" si="61"/>
        <v>16.67</v>
      </c>
      <c r="AF38" s="3">
        <f t="shared" si="62"/>
        <v>15.336400000000003</v>
      </c>
      <c r="AG38" s="4">
        <f t="shared" si="63"/>
        <v>35.007</v>
      </c>
      <c r="AH38" s="8">
        <f t="shared" si="94"/>
        <v>16.67</v>
      </c>
      <c r="AI38" s="8">
        <f t="shared" si="85"/>
        <v>16.67</v>
      </c>
      <c r="AJ38" s="4">
        <f t="shared" si="64"/>
        <v>22.671200000000002</v>
      </c>
      <c r="AK38" s="1">
        <f t="shared" si="65"/>
        <v>16.67</v>
      </c>
      <c r="AL38" s="1">
        <f t="shared" si="66"/>
        <v>16.67</v>
      </c>
      <c r="AM38" s="2">
        <f t="shared" si="67"/>
        <v>16.67</v>
      </c>
      <c r="AN38" s="2">
        <f t="shared" si="68"/>
        <v>16.67</v>
      </c>
      <c r="AO38" s="3">
        <f t="shared" si="69"/>
        <v>14.82</v>
      </c>
      <c r="AP38" s="3">
        <f t="shared" si="95"/>
        <v>16.67</v>
      </c>
      <c r="AQ38" s="7">
        <f t="shared" si="70"/>
        <v>25.005</v>
      </c>
      <c r="AR38" s="1">
        <f t="shared" si="86"/>
        <v>37.05</v>
      </c>
      <c r="AS38" s="1">
        <f t="shared" si="71"/>
        <v>16.67</v>
      </c>
      <c r="AT38" s="3">
        <f t="shared" si="72"/>
        <v>20.004</v>
      </c>
      <c r="AU38" s="3">
        <f t="shared" si="96"/>
        <v>16.302000000000003</v>
      </c>
      <c r="AV38" s="1">
        <f t="shared" si="73"/>
        <v>16.67</v>
      </c>
      <c r="AW38" s="4">
        <f t="shared" si="74"/>
        <v>15.836500000000001</v>
      </c>
      <c r="AX38" s="3" t="str">
        <f t="shared" si="75"/>
        <v>14.67 Per Unit</v>
      </c>
      <c r="AY38" s="3">
        <f t="shared" si="76"/>
        <v>16.67</v>
      </c>
      <c r="AZ38" s="1">
        <f t="shared" si="87"/>
        <v>16.67</v>
      </c>
      <c r="BA38" s="3">
        <f t="shared" si="88"/>
        <v>16.67</v>
      </c>
      <c r="BB38" s="3">
        <f t="shared" si="89"/>
        <v>16.67</v>
      </c>
      <c r="BC38" s="3">
        <f t="shared" si="90"/>
        <v>18.337000000000003</v>
      </c>
      <c r="BD38" s="3">
        <f t="shared" si="91"/>
        <v>15.003000000000002</v>
      </c>
      <c r="BE38" s="3">
        <f t="shared" si="77"/>
        <v>42.5085</v>
      </c>
      <c r="BF38" s="1">
        <f t="shared" si="78"/>
        <v>16.67</v>
      </c>
      <c r="BG38" s="8" t="str">
        <f t="shared" si="79"/>
        <v>15.84 Per Unit</v>
      </c>
      <c r="BH38" s="4">
        <f t="shared" si="80"/>
        <v>20.004</v>
      </c>
      <c r="BI38" s="1">
        <f t="shared" si="81"/>
        <v>16.67</v>
      </c>
      <c r="BJ38" s="3">
        <f t="shared" si="82"/>
        <v>15.836500000000001</v>
      </c>
      <c r="BK38" s="1">
        <f t="shared" si="83"/>
        <v>16.67</v>
      </c>
      <c r="BL38" s="3">
        <v>15.003000000000002</v>
      </c>
      <c r="BM38" s="8">
        <f t="shared" si="84"/>
        <v>16.67</v>
      </c>
      <c r="BN38" s="3">
        <f>MIN(N38:BM38:BM38)</f>
        <v>14.82</v>
      </c>
      <c r="BO38" s="3">
        <f t="shared" si="92"/>
        <v>73.1306</v>
      </c>
    </row>
    <row r="39" spans="1:67" ht="19.5" customHeight="1">
      <c r="A39" s="10">
        <f t="shared" si="44"/>
        <v>38</v>
      </c>
      <c r="B39" s="23">
        <v>84100</v>
      </c>
      <c r="C39" s="6">
        <v>3018410000</v>
      </c>
      <c r="D39" s="29" t="s">
        <v>18</v>
      </c>
      <c r="E39" s="11" t="s">
        <v>371</v>
      </c>
      <c r="F39" s="45">
        <v>14.22</v>
      </c>
      <c r="G39" s="23">
        <v>301</v>
      </c>
      <c r="H39" s="48">
        <v>0</v>
      </c>
      <c r="I39" s="6">
        <v>0</v>
      </c>
      <c r="J39" s="8">
        <f t="shared" si="48"/>
        <v>6.162000000000001</v>
      </c>
      <c r="K39" s="24" t="s">
        <v>386</v>
      </c>
      <c r="L39" s="3">
        <v>4.74</v>
      </c>
      <c r="M39" s="3">
        <v>4.21</v>
      </c>
      <c r="N39" s="17">
        <f>5.67*1.8</f>
        <v>10.206</v>
      </c>
      <c r="O39" s="8">
        <f t="shared" si="49"/>
        <v>4.74</v>
      </c>
      <c r="P39" s="7">
        <f t="shared" si="93"/>
        <v>9.243</v>
      </c>
      <c r="Q39" s="1">
        <f t="shared" si="50"/>
        <v>4.74</v>
      </c>
      <c r="R39" s="4">
        <f t="shared" si="51"/>
        <v>5.214</v>
      </c>
      <c r="S39" s="1">
        <f t="shared" si="52"/>
        <v>4.74</v>
      </c>
      <c r="T39" s="1">
        <v>7.03</v>
      </c>
      <c r="U39" s="27">
        <f>6.63*3.14</f>
        <v>20.8182</v>
      </c>
      <c r="V39" s="3">
        <f t="shared" si="53"/>
        <v>4.74</v>
      </c>
      <c r="W39" s="3">
        <f t="shared" si="54"/>
        <v>4.74</v>
      </c>
      <c r="X39" s="3">
        <f t="shared" si="55"/>
        <v>4.74</v>
      </c>
      <c r="Y39" s="3">
        <v>6.93</v>
      </c>
      <c r="Z39" s="3">
        <f t="shared" si="56"/>
        <v>4.503</v>
      </c>
      <c r="AA39" s="3">
        <f t="shared" si="57"/>
        <v>4.503</v>
      </c>
      <c r="AB39" s="3">
        <f t="shared" si="58"/>
        <v>4.74</v>
      </c>
      <c r="AC39" s="4">
        <f t="shared" si="59"/>
        <v>4.977</v>
      </c>
      <c r="AD39" s="3">
        <f t="shared" si="60"/>
        <v>4.74</v>
      </c>
      <c r="AE39" s="3">
        <f t="shared" si="61"/>
        <v>4.74</v>
      </c>
      <c r="AF39" s="3">
        <f t="shared" si="62"/>
        <v>4.3608</v>
      </c>
      <c r="AG39" s="4">
        <f t="shared" si="63"/>
        <v>9.954</v>
      </c>
      <c r="AH39" s="8">
        <f t="shared" si="94"/>
        <v>4.74</v>
      </c>
      <c r="AI39" s="8">
        <f t="shared" si="85"/>
        <v>4.74</v>
      </c>
      <c r="AJ39" s="4">
        <f t="shared" si="64"/>
        <v>6.446400000000001</v>
      </c>
      <c r="AK39" s="1">
        <f t="shared" si="65"/>
        <v>4.74</v>
      </c>
      <c r="AL39" s="1">
        <f t="shared" si="66"/>
        <v>4.74</v>
      </c>
      <c r="AM39" s="2">
        <f t="shared" si="67"/>
        <v>4.74</v>
      </c>
      <c r="AN39" s="2">
        <f t="shared" si="68"/>
        <v>4.74</v>
      </c>
      <c r="AO39" s="3">
        <f t="shared" si="69"/>
        <v>4.21</v>
      </c>
      <c r="AP39" s="3">
        <f t="shared" si="95"/>
        <v>4.74</v>
      </c>
      <c r="AQ39" s="7">
        <f t="shared" si="70"/>
        <v>7.11</v>
      </c>
      <c r="AR39" s="1">
        <f t="shared" si="86"/>
        <v>10.525</v>
      </c>
      <c r="AS39" s="1">
        <f t="shared" si="71"/>
        <v>4.74</v>
      </c>
      <c r="AT39" s="3">
        <f t="shared" si="72"/>
        <v>5.688000000000001</v>
      </c>
      <c r="AU39" s="3">
        <f t="shared" si="96"/>
        <v>4.631</v>
      </c>
      <c r="AV39" s="1">
        <f t="shared" si="73"/>
        <v>4.74</v>
      </c>
      <c r="AW39" s="4">
        <f t="shared" si="74"/>
        <v>4.503</v>
      </c>
      <c r="AX39" s="3" t="str">
        <f t="shared" si="75"/>
        <v>4.17 Per Unit</v>
      </c>
      <c r="AY39" s="3">
        <f t="shared" si="76"/>
        <v>4.74</v>
      </c>
      <c r="AZ39" s="1">
        <f t="shared" si="87"/>
        <v>4.74</v>
      </c>
      <c r="BA39" s="3">
        <f t="shared" si="88"/>
        <v>4.74</v>
      </c>
      <c r="BB39" s="3">
        <f t="shared" si="89"/>
        <v>4.74</v>
      </c>
      <c r="BC39" s="3">
        <f t="shared" si="90"/>
        <v>5.214</v>
      </c>
      <c r="BD39" s="3">
        <f t="shared" si="91"/>
        <v>4.266</v>
      </c>
      <c r="BE39" s="3">
        <f t="shared" si="77"/>
        <v>12.087</v>
      </c>
      <c r="BF39" s="1">
        <f t="shared" si="78"/>
        <v>4.74</v>
      </c>
      <c r="BG39" s="8" t="str">
        <f t="shared" si="79"/>
        <v>4.5 Per Unit</v>
      </c>
      <c r="BH39" s="4">
        <f t="shared" si="80"/>
        <v>5.688</v>
      </c>
      <c r="BI39" s="1">
        <f t="shared" si="81"/>
        <v>4.74</v>
      </c>
      <c r="BJ39" s="3">
        <f t="shared" si="82"/>
        <v>4.503</v>
      </c>
      <c r="BK39" s="1">
        <f t="shared" si="83"/>
        <v>4.74</v>
      </c>
      <c r="BL39" s="3">
        <v>4.266</v>
      </c>
      <c r="BM39" s="8">
        <f t="shared" si="84"/>
        <v>4.74</v>
      </c>
      <c r="BN39" s="3">
        <f>MIN(N39:BM39:BM39)</f>
        <v>4.21</v>
      </c>
      <c r="BO39" s="3">
        <f t="shared" si="92"/>
        <v>20.8182</v>
      </c>
    </row>
    <row r="40" spans="1:67" ht="19.5" customHeight="1">
      <c r="A40" s="10">
        <f t="shared" si="44"/>
        <v>39</v>
      </c>
      <c r="B40" s="6">
        <v>83001</v>
      </c>
      <c r="C40" s="6">
        <v>3018300100</v>
      </c>
      <c r="D40" s="29" t="s">
        <v>342</v>
      </c>
      <c r="E40" s="11" t="s">
        <v>371</v>
      </c>
      <c r="F40" s="45">
        <v>55.74</v>
      </c>
      <c r="G40" s="23">
        <v>301</v>
      </c>
      <c r="H40" s="48">
        <v>0</v>
      </c>
      <c r="I40" s="6">
        <v>0</v>
      </c>
      <c r="J40" s="8">
        <f t="shared" si="48"/>
        <v>24.154</v>
      </c>
      <c r="K40" s="24" t="s">
        <v>386</v>
      </c>
      <c r="L40" s="3">
        <v>18.58</v>
      </c>
      <c r="M40" s="3">
        <v>16.41</v>
      </c>
      <c r="N40" s="17">
        <f>22.23*1.8</f>
        <v>40.014</v>
      </c>
      <c r="O40" s="8">
        <f t="shared" si="49"/>
        <v>18.58</v>
      </c>
      <c r="P40" s="7">
        <f t="shared" si="93"/>
        <v>36.231</v>
      </c>
      <c r="Q40" s="1">
        <f t="shared" si="50"/>
        <v>18.58</v>
      </c>
      <c r="R40" s="4">
        <f t="shared" si="51"/>
        <v>20.438</v>
      </c>
      <c r="S40" s="1">
        <f t="shared" si="52"/>
        <v>18.58</v>
      </c>
      <c r="T40" s="1">
        <v>27.6</v>
      </c>
      <c r="U40" s="27">
        <f>25.97*3.14</f>
        <v>81.5458</v>
      </c>
      <c r="V40" s="3">
        <f t="shared" si="53"/>
        <v>18.58</v>
      </c>
      <c r="W40" s="3">
        <f t="shared" si="54"/>
        <v>18.58</v>
      </c>
      <c r="X40" s="3">
        <f t="shared" si="55"/>
        <v>18.58</v>
      </c>
      <c r="Y40" s="3">
        <v>27.18</v>
      </c>
      <c r="Z40" s="3">
        <f t="shared" si="56"/>
        <v>17.650999999999996</v>
      </c>
      <c r="AA40" s="3">
        <f t="shared" si="57"/>
        <v>17.650999999999996</v>
      </c>
      <c r="AB40" s="3">
        <f t="shared" si="58"/>
        <v>18.58</v>
      </c>
      <c r="AC40" s="4">
        <f t="shared" si="59"/>
        <v>19.509</v>
      </c>
      <c r="AD40" s="3">
        <f t="shared" si="60"/>
        <v>18.58</v>
      </c>
      <c r="AE40" s="3">
        <f t="shared" si="61"/>
        <v>18.58</v>
      </c>
      <c r="AF40" s="3">
        <f t="shared" si="62"/>
        <v>17.0936</v>
      </c>
      <c r="AG40" s="4">
        <f t="shared" si="63"/>
        <v>39.018</v>
      </c>
      <c r="AH40" s="8">
        <f t="shared" si="94"/>
        <v>18.58</v>
      </c>
      <c r="AI40" s="8">
        <f t="shared" si="85"/>
        <v>18.58</v>
      </c>
      <c r="AJ40" s="4">
        <f t="shared" si="64"/>
        <v>25.2688</v>
      </c>
      <c r="AK40" s="1">
        <f t="shared" si="65"/>
        <v>18.58</v>
      </c>
      <c r="AL40" s="1">
        <f t="shared" si="66"/>
        <v>18.58</v>
      </c>
      <c r="AM40" s="2">
        <f t="shared" si="67"/>
        <v>18.58</v>
      </c>
      <c r="AN40" s="2">
        <f t="shared" si="68"/>
        <v>18.58</v>
      </c>
      <c r="AO40" s="3">
        <f t="shared" si="69"/>
        <v>16.41</v>
      </c>
      <c r="AP40" s="3">
        <f t="shared" si="95"/>
        <v>18.58</v>
      </c>
      <c r="AQ40" s="7">
        <f t="shared" si="70"/>
        <v>27.87</v>
      </c>
      <c r="AR40" s="1">
        <f t="shared" si="86"/>
        <v>41.025</v>
      </c>
      <c r="AS40" s="1">
        <f t="shared" si="71"/>
        <v>18.58</v>
      </c>
      <c r="AT40" s="3">
        <f t="shared" si="72"/>
        <v>22.296000000000003</v>
      </c>
      <c r="AU40" s="3">
        <f t="shared" si="96"/>
        <v>18.051000000000002</v>
      </c>
      <c r="AV40" s="1">
        <f t="shared" si="73"/>
        <v>18.58</v>
      </c>
      <c r="AW40" s="4">
        <f t="shared" si="74"/>
        <v>17.650999999999996</v>
      </c>
      <c r="AX40" s="3" t="str">
        <f t="shared" si="75"/>
        <v>16.35 Per Unit</v>
      </c>
      <c r="AY40" s="3">
        <f t="shared" si="76"/>
        <v>18.58</v>
      </c>
      <c r="AZ40" s="1">
        <f t="shared" si="87"/>
        <v>18.58</v>
      </c>
      <c r="BA40" s="3">
        <f t="shared" si="88"/>
        <v>18.58</v>
      </c>
      <c r="BB40" s="3">
        <f t="shared" si="89"/>
        <v>18.58</v>
      </c>
      <c r="BC40" s="3">
        <f t="shared" si="90"/>
        <v>20.438</v>
      </c>
      <c r="BD40" s="3">
        <f t="shared" si="91"/>
        <v>16.721999999999998</v>
      </c>
      <c r="BE40" s="3">
        <f t="shared" si="77"/>
        <v>47.379</v>
      </c>
      <c r="BF40" s="1">
        <f t="shared" si="78"/>
        <v>18.58</v>
      </c>
      <c r="BG40" s="8" t="str">
        <f t="shared" si="79"/>
        <v>17.65 Per Unit</v>
      </c>
      <c r="BH40" s="4">
        <f t="shared" si="80"/>
        <v>22.295999999999996</v>
      </c>
      <c r="BI40" s="1">
        <f t="shared" si="81"/>
        <v>18.58</v>
      </c>
      <c r="BJ40" s="3">
        <f t="shared" si="82"/>
        <v>17.650999999999996</v>
      </c>
      <c r="BK40" s="1">
        <f t="shared" si="83"/>
        <v>18.58</v>
      </c>
      <c r="BL40" s="3">
        <v>16.721999999999998</v>
      </c>
      <c r="BM40" s="8">
        <f t="shared" si="84"/>
        <v>18.58</v>
      </c>
      <c r="BN40" s="3">
        <f>MIN(N40:BM40:BM40)</f>
        <v>16.41</v>
      </c>
      <c r="BO40" s="3">
        <f t="shared" si="92"/>
        <v>81.5458</v>
      </c>
    </row>
    <row r="41" spans="1:67" ht="19.5" customHeight="1">
      <c r="A41" s="10">
        <f t="shared" si="44"/>
        <v>40</v>
      </c>
      <c r="B41" s="13">
        <v>85025</v>
      </c>
      <c r="C41" s="6">
        <v>3058502500</v>
      </c>
      <c r="D41" s="30" t="s">
        <v>182</v>
      </c>
      <c r="E41" s="11" t="s">
        <v>371</v>
      </c>
      <c r="F41" s="45">
        <v>23.31</v>
      </c>
      <c r="G41" s="40">
        <v>305</v>
      </c>
      <c r="H41" s="48">
        <v>0</v>
      </c>
      <c r="I41" s="6">
        <v>0</v>
      </c>
      <c r="J41" s="8">
        <f t="shared" si="48"/>
        <v>10.100999999999999</v>
      </c>
      <c r="K41" s="24" t="s">
        <v>386</v>
      </c>
      <c r="L41" s="3">
        <v>7.77</v>
      </c>
      <c r="M41" s="3">
        <v>6.75</v>
      </c>
      <c r="N41" s="17">
        <f>9.3*1.8</f>
        <v>16.740000000000002</v>
      </c>
      <c r="O41" s="8">
        <f t="shared" si="49"/>
        <v>7.77</v>
      </c>
      <c r="P41" s="7">
        <f t="shared" si="93"/>
        <v>15.1515</v>
      </c>
      <c r="Q41" s="1">
        <f t="shared" si="50"/>
        <v>7.77</v>
      </c>
      <c r="R41" s="4">
        <f t="shared" si="51"/>
        <v>8.547</v>
      </c>
      <c r="S41" s="1">
        <f t="shared" si="52"/>
        <v>7.77</v>
      </c>
      <c r="T41" s="1">
        <v>11.55</v>
      </c>
      <c r="U41" s="27">
        <f>10.86*3.14</f>
        <v>34.1004</v>
      </c>
      <c r="V41" s="3">
        <f t="shared" si="53"/>
        <v>7.77</v>
      </c>
      <c r="W41" s="3">
        <f t="shared" si="54"/>
        <v>7.77</v>
      </c>
      <c r="X41" s="3">
        <f t="shared" si="55"/>
        <v>7.77</v>
      </c>
      <c r="Y41" s="3">
        <v>11.37</v>
      </c>
      <c r="Z41" s="3">
        <f t="shared" si="56"/>
        <v>7.381499999999999</v>
      </c>
      <c r="AA41" s="3">
        <f t="shared" si="57"/>
        <v>7.381499999999999</v>
      </c>
      <c r="AB41" s="3">
        <f t="shared" si="58"/>
        <v>7.77</v>
      </c>
      <c r="AC41" s="4">
        <f t="shared" si="59"/>
        <v>8.1585</v>
      </c>
      <c r="AD41" s="3">
        <f t="shared" si="60"/>
        <v>7.77</v>
      </c>
      <c r="AE41" s="3">
        <f t="shared" si="61"/>
        <v>7.77</v>
      </c>
      <c r="AF41" s="3">
        <f t="shared" si="62"/>
        <v>7.1484</v>
      </c>
      <c r="AG41" s="4">
        <f t="shared" si="63"/>
        <v>16.316999999999997</v>
      </c>
      <c r="AH41" s="8">
        <f t="shared" si="94"/>
        <v>7.77</v>
      </c>
      <c r="AI41" s="8">
        <f t="shared" si="85"/>
        <v>7.77</v>
      </c>
      <c r="AJ41" s="4">
        <f t="shared" si="64"/>
        <v>10.5672</v>
      </c>
      <c r="AK41" s="1">
        <f t="shared" si="65"/>
        <v>7.77</v>
      </c>
      <c r="AL41" s="1">
        <f t="shared" si="66"/>
        <v>7.77</v>
      </c>
      <c r="AM41" s="2">
        <f t="shared" si="67"/>
        <v>7.77</v>
      </c>
      <c r="AN41" s="2">
        <f t="shared" si="68"/>
        <v>7.77</v>
      </c>
      <c r="AO41" s="3">
        <f t="shared" si="69"/>
        <v>6.75</v>
      </c>
      <c r="AP41" s="3">
        <f t="shared" si="95"/>
        <v>7.77</v>
      </c>
      <c r="AQ41" s="7">
        <f t="shared" si="70"/>
        <v>11.655</v>
      </c>
      <c r="AR41" s="1">
        <f t="shared" si="86"/>
        <v>16.875</v>
      </c>
      <c r="AS41" s="1">
        <f t="shared" si="71"/>
        <v>7.77</v>
      </c>
      <c r="AT41" s="3">
        <f t="shared" si="72"/>
        <v>9.324</v>
      </c>
      <c r="AU41" s="3">
        <f t="shared" si="96"/>
        <v>7.425000000000001</v>
      </c>
      <c r="AV41" s="1">
        <f t="shared" si="73"/>
        <v>7.77</v>
      </c>
      <c r="AW41" s="4">
        <f t="shared" si="74"/>
        <v>7.381499999999999</v>
      </c>
      <c r="AX41" s="3" t="str">
        <f t="shared" si="75"/>
        <v>6.84 Per Unit</v>
      </c>
      <c r="AY41" s="3">
        <f t="shared" si="76"/>
        <v>7.77</v>
      </c>
      <c r="AZ41" s="1">
        <f t="shared" si="87"/>
        <v>7.77</v>
      </c>
      <c r="BA41" s="3">
        <f t="shared" si="88"/>
        <v>7.77</v>
      </c>
      <c r="BB41" s="3">
        <f t="shared" si="89"/>
        <v>7.77</v>
      </c>
      <c r="BC41" s="3">
        <f t="shared" si="90"/>
        <v>8.547</v>
      </c>
      <c r="BD41" s="3">
        <f t="shared" si="91"/>
        <v>6.992999999999999</v>
      </c>
      <c r="BE41" s="3">
        <f t="shared" si="77"/>
        <v>19.813499999999998</v>
      </c>
      <c r="BF41" s="1">
        <f t="shared" si="78"/>
        <v>7.77</v>
      </c>
      <c r="BG41" s="8" t="str">
        <f t="shared" si="79"/>
        <v>7.38 Per Unit</v>
      </c>
      <c r="BH41" s="4">
        <f t="shared" si="80"/>
        <v>9.324</v>
      </c>
      <c r="BI41" s="1">
        <f t="shared" si="81"/>
        <v>7.77</v>
      </c>
      <c r="BJ41" s="3">
        <f t="shared" si="82"/>
        <v>7.381499999999999</v>
      </c>
      <c r="BK41" s="1">
        <f t="shared" si="83"/>
        <v>7.77</v>
      </c>
      <c r="BL41" s="3">
        <v>6.992999999999999</v>
      </c>
      <c r="BM41" s="8">
        <f t="shared" si="84"/>
        <v>7.77</v>
      </c>
      <c r="BN41" s="3">
        <f>MIN(N41:BM41:BM41)</f>
        <v>6.75</v>
      </c>
      <c r="BO41" s="3">
        <f t="shared" si="92"/>
        <v>34.1004</v>
      </c>
    </row>
    <row r="42" spans="1:67" ht="19.5" customHeight="1">
      <c r="A42" s="10">
        <f t="shared" si="44"/>
        <v>41</v>
      </c>
      <c r="B42" s="13">
        <v>83036</v>
      </c>
      <c r="C42" s="6">
        <v>3018303600</v>
      </c>
      <c r="D42" s="30" t="s">
        <v>187</v>
      </c>
      <c r="E42" s="11" t="s">
        <v>371</v>
      </c>
      <c r="F42" s="45">
        <v>29.13</v>
      </c>
      <c r="G42" s="23">
        <v>301</v>
      </c>
      <c r="H42" s="48">
        <v>0</v>
      </c>
      <c r="I42" s="6">
        <v>0</v>
      </c>
      <c r="J42" s="8">
        <f t="shared" si="48"/>
        <v>12.623000000000001</v>
      </c>
      <c r="K42" s="24" t="s">
        <v>386</v>
      </c>
      <c r="L42" s="3">
        <v>9.71</v>
      </c>
      <c r="M42" s="3">
        <v>8.54</v>
      </c>
      <c r="N42" s="17">
        <f>11.61*1.8</f>
        <v>20.898</v>
      </c>
      <c r="O42" s="8">
        <f t="shared" si="49"/>
        <v>9.71</v>
      </c>
      <c r="P42" s="7">
        <f t="shared" si="93"/>
        <v>18.9345</v>
      </c>
      <c r="Q42" s="1">
        <f t="shared" si="50"/>
        <v>9.71</v>
      </c>
      <c r="R42" s="4">
        <f t="shared" si="51"/>
        <v>10.681000000000001</v>
      </c>
      <c r="S42" s="1">
        <f t="shared" si="52"/>
        <v>9.71</v>
      </c>
      <c r="T42" s="1">
        <v>14.42</v>
      </c>
      <c r="U42" s="27">
        <f>13.56*3.14</f>
        <v>42.5784</v>
      </c>
      <c r="V42" s="3">
        <f t="shared" si="53"/>
        <v>9.71</v>
      </c>
      <c r="W42" s="3">
        <f t="shared" si="54"/>
        <v>9.71</v>
      </c>
      <c r="X42" s="3">
        <f t="shared" si="55"/>
        <v>9.71</v>
      </c>
      <c r="Y42" s="3">
        <v>14.21</v>
      </c>
      <c r="Z42" s="3">
        <f t="shared" si="56"/>
        <v>9.2245</v>
      </c>
      <c r="AA42" s="3">
        <f t="shared" si="57"/>
        <v>9.2245</v>
      </c>
      <c r="AB42" s="3">
        <f t="shared" si="58"/>
        <v>9.71</v>
      </c>
      <c r="AC42" s="4">
        <f t="shared" si="59"/>
        <v>10.195500000000001</v>
      </c>
      <c r="AD42" s="3">
        <f t="shared" si="60"/>
        <v>9.71</v>
      </c>
      <c r="AE42" s="3">
        <f t="shared" si="61"/>
        <v>9.71</v>
      </c>
      <c r="AF42" s="3">
        <f t="shared" si="62"/>
        <v>8.933200000000001</v>
      </c>
      <c r="AG42" s="4">
        <f t="shared" si="63"/>
        <v>20.391</v>
      </c>
      <c r="AH42" s="8">
        <f t="shared" si="94"/>
        <v>9.71</v>
      </c>
      <c r="AI42" s="8">
        <f t="shared" si="85"/>
        <v>9.71</v>
      </c>
      <c r="AJ42" s="4">
        <f t="shared" si="64"/>
        <v>13.205600000000002</v>
      </c>
      <c r="AK42" s="1">
        <f t="shared" si="65"/>
        <v>9.71</v>
      </c>
      <c r="AL42" s="1">
        <f t="shared" si="66"/>
        <v>9.71</v>
      </c>
      <c r="AM42" s="2">
        <f t="shared" si="67"/>
        <v>9.71</v>
      </c>
      <c r="AN42" s="2">
        <f t="shared" si="68"/>
        <v>9.71</v>
      </c>
      <c r="AO42" s="3">
        <f t="shared" si="69"/>
        <v>8.54</v>
      </c>
      <c r="AP42" s="3">
        <f t="shared" si="95"/>
        <v>9.71</v>
      </c>
      <c r="AQ42" s="7">
        <f t="shared" si="70"/>
        <v>14.565</v>
      </c>
      <c r="AR42" s="1">
        <f t="shared" si="86"/>
        <v>21.349999999999998</v>
      </c>
      <c r="AS42" s="1">
        <f t="shared" si="71"/>
        <v>9.71</v>
      </c>
      <c r="AT42" s="3">
        <f t="shared" si="72"/>
        <v>11.652000000000001</v>
      </c>
      <c r="AU42" s="3">
        <f t="shared" si="96"/>
        <v>9.394</v>
      </c>
      <c r="AV42" s="1">
        <f t="shared" si="73"/>
        <v>9.71</v>
      </c>
      <c r="AW42" s="4">
        <f t="shared" si="74"/>
        <v>9.2245</v>
      </c>
      <c r="AX42" s="3" t="str">
        <f t="shared" si="75"/>
        <v>8.54 Per Unit</v>
      </c>
      <c r="AY42" s="3">
        <f t="shared" si="76"/>
        <v>9.71</v>
      </c>
      <c r="AZ42" s="1">
        <f t="shared" si="87"/>
        <v>9.71</v>
      </c>
      <c r="BA42" s="3">
        <f t="shared" si="88"/>
        <v>9.71</v>
      </c>
      <c r="BB42" s="3">
        <f t="shared" si="89"/>
        <v>9.71</v>
      </c>
      <c r="BC42" s="3">
        <f t="shared" si="90"/>
        <v>10.681000000000001</v>
      </c>
      <c r="BD42" s="3">
        <f t="shared" si="91"/>
        <v>8.739</v>
      </c>
      <c r="BE42" s="3">
        <f t="shared" si="77"/>
        <v>24.760499999999997</v>
      </c>
      <c r="BF42" s="1">
        <f t="shared" si="78"/>
        <v>9.71</v>
      </c>
      <c r="BG42" s="8" t="str">
        <f t="shared" si="79"/>
        <v>9.22 Per Unit</v>
      </c>
      <c r="BH42" s="4">
        <f t="shared" si="80"/>
        <v>11.652000000000001</v>
      </c>
      <c r="BI42" s="1">
        <f t="shared" si="81"/>
        <v>9.71</v>
      </c>
      <c r="BJ42" s="3">
        <f t="shared" si="82"/>
        <v>9.2245</v>
      </c>
      <c r="BK42" s="1">
        <f t="shared" si="83"/>
        <v>9.71</v>
      </c>
      <c r="BL42" s="3">
        <v>8.739</v>
      </c>
      <c r="BM42" s="8">
        <f t="shared" si="84"/>
        <v>9.71</v>
      </c>
      <c r="BN42" s="3">
        <f>MIN(N42:BM42:BM42)</f>
        <v>8.54</v>
      </c>
      <c r="BO42" s="3">
        <f t="shared" si="92"/>
        <v>42.5784</v>
      </c>
    </row>
    <row r="43" spans="1:67" ht="19.5" customHeight="1">
      <c r="A43" s="10">
        <f t="shared" si="44"/>
        <v>42</v>
      </c>
      <c r="B43" s="24">
        <v>82306</v>
      </c>
      <c r="C43" s="6">
        <v>3018230600</v>
      </c>
      <c r="D43" s="30" t="s">
        <v>189</v>
      </c>
      <c r="E43" s="11" t="s">
        <v>371</v>
      </c>
      <c r="F43" s="45">
        <v>88.8</v>
      </c>
      <c r="G43" s="23">
        <v>301</v>
      </c>
      <c r="H43" s="48">
        <v>0</v>
      </c>
      <c r="I43" s="6">
        <v>0</v>
      </c>
      <c r="J43" s="8">
        <f t="shared" si="48"/>
        <v>38.480000000000004</v>
      </c>
      <c r="K43" s="24" t="s">
        <v>386</v>
      </c>
      <c r="L43" s="3">
        <v>29.6</v>
      </c>
      <c r="M43" s="3">
        <v>24.79</v>
      </c>
      <c r="N43" s="17">
        <f>35.41*1.8</f>
        <v>63.73799999999999</v>
      </c>
      <c r="O43" s="8">
        <f t="shared" si="49"/>
        <v>29.6</v>
      </c>
      <c r="P43" s="7">
        <f t="shared" si="93"/>
        <v>57.72</v>
      </c>
      <c r="Q43" s="1">
        <f t="shared" si="50"/>
        <v>29.6</v>
      </c>
      <c r="R43" s="4">
        <f t="shared" si="51"/>
        <v>32.56</v>
      </c>
      <c r="S43" s="1">
        <f t="shared" si="52"/>
        <v>29.6</v>
      </c>
      <c r="T43" s="1">
        <v>43.97</v>
      </c>
      <c r="U43" s="27">
        <f>41.36*3.14</f>
        <v>129.8704</v>
      </c>
      <c r="V43" s="3">
        <f t="shared" si="53"/>
        <v>29.6</v>
      </c>
      <c r="W43" s="3">
        <f t="shared" si="54"/>
        <v>29.6</v>
      </c>
      <c r="X43" s="3">
        <f t="shared" si="55"/>
        <v>29.6</v>
      </c>
      <c r="Y43" s="3">
        <v>43.29</v>
      </c>
      <c r="Z43" s="3">
        <f t="shared" si="56"/>
        <v>28.12</v>
      </c>
      <c r="AA43" s="3">
        <f t="shared" si="57"/>
        <v>28.12</v>
      </c>
      <c r="AB43" s="3">
        <f t="shared" si="58"/>
        <v>29.6</v>
      </c>
      <c r="AC43" s="4">
        <f t="shared" si="59"/>
        <v>31.080000000000002</v>
      </c>
      <c r="AD43" s="3">
        <f t="shared" si="60"/>
        <v>29.6</v>
      </c>
      <c r="AE43" s="3">
        <f t="shared" si="61"/>
        <v>29.6</v>
      </c>
      <c r="AF43" s="3">
        <f t="shared" si="62"/>
        <v>27.232000000000003</v>
      </c>
      <c r="AG43" s="4">
        <f t="shared" si="63"/>
        <v>62.16</v>
      </c>
      <c r="AH43" s="8">
        <f t="shared" si="94"/>
        <v>29.6</v>
      </c>
      <c r="AI43" s="8">
        <f t="shared" si="85"/>
        <v>29.6</v>
      </c>
      <c r="AJ43" s="4">
        <f t="shared" si="64"/>
        <v>40.25600000000001</v>
      </c>
      <c r="AK43" s="1">
        <f t="shared" si="65"/>
        <v>29.6</v>
      </c>
      <c r="AL43" s="1">
        <f t="shared" si="66"/>
        <v>29.6</v>
      </c>
      <c r="AM43" s="2">
        <f t="shared" si="67"/>
        <v>29.6</v>
      </c>
      <c r="AN43" s="2">
        <f t="shared" si="68"/>
        <v>29.6</v>
      </c>
      <c r="AO43" s="3">
        <f t="shared" si="69"/>
        <v>24.79</v>
      </c>
      <c r="AP43" s="3">
        <f t="shared" si="95"/>
        <v>29.6</v>
      </c>
      <c r="AQ43" s="7">
        <f t="shared" si="70"/>
        <v>44.4</v>
      </c>
      <c r="AR43" s="1">
        <f t="shared" si="86"/>
        <v>61.974999999999994</v>
      </c>
      <c r="AS43" s="1">
        <f t="shared" si="71"/>
        <v>29.6</v>
      </c>
      <c r="AT43" s="3">
        <f t="shared" si="72"/>
        <v>35.52</v>
      </c>
      <c r="AU43" s="3">
        <f t="shared" si="96"/>
        <v>27.269000000000002</v>
      </c>
      <c r="AV43" s="1">
        <f t="shared" si="73"/>
        <v>29.6</v>
      </c>
      <c r="AW43" s="4">
        <f t="shared" si="74"/>
        <v>28.12</v>
      </c>
      <c r="AX43" s="3" t="str">
        <f t="shared" si="75"/>
        <v>26.05 Per Unit</v>
      </c>
      <c r="AY43" s="3">
        <f t="shared" si="76"/>
        <v>29.6</v>
      </c>
      <c r="AZ43" s="1">
        <f t="shared" si="87"/>
        <v>29.6</v>
      </c>
      <c r="BA43" s="3">
        <f t="shared" si="88"/>
        <v>29.6</v>
      </c>
      <c r="BB43" s="3">
        <f t="shared" si="89"/>
        <v>29.6</v>
      </c>
      <c r="BC43" s="3">
        <f t="shared" si="90"/>
        <v>32.56</v>
      </c>
      <c r="BD43" s="3">
        <f t="shared" si="91"/>
        <v>26.64</v>
      </c>
      <c r="BE43" s="3">
        <f t="shared" si="77"/>
        <v>75.47999999999999</v>
      </c>
      <c r="BF43" s="1">
        <f t="shared" si="78"/>
        <v>29.6</v>
      </c>
      <c r="BG43" s="8" t="str">
        <f t="shared" si="79"/>
        <v>28.12 Per Unit</v>
      </c>
      <c r="BH43" s="4">
        <f t="shared" si="80"/>
        <v>35.52</v>
      </c>
      <c r="BI43" s="1">
        <f t="shared" si="81"/>
        <v>29.6</v>
      </c>
      <c r="BJ43" s="3">
        <f t="shared" si="82"/>
        <v>28.12</v>
      </c>
      <c r="BK43" s="1">
        <f t="shared" si="83"/>
        <v>29.6</v>
      </c>
      <c r="BL43" s="3">
        <v>26.64</v>
      </c>
      <c r="BM43" s="8">
        <f t="shared" si="84"/>
        <v>29.6</v>
      </c>
      <c r="BN43" s="3">
        <f>MIN(N43:BM43:BM43)</f>
        <v>24.79</v>
      </c>
      <c r="BO43" s="3">
        <f t="shared" si="92"/>
        <v>129.8704</v>
      </c>
    </row>
    <row r="44" spans="1:67" ht="19.5" customHeight="1">
      <c r="A44" s="10">
        <f t="shared" si="44"/>
        <v>43</v>
      </c>
      <c r="B44" s="23">
        <v>83880</v>
      </c>
      <c r="C44" s="6">
        <v>3018388000</v>
      </c>
      <c r="D44" s="29" t="s">
        <v>343</v>
      </c>
      <c r="E44" s="11" t="s">
        <v>371</v>
      </c>
      <c r="F44" s="45">
        <v>117.78</v>
      </c>
      <c r="G44" s="23">
        <v>301</v>
      </c>
      <c r="H44" s="48">
        <v>0</v>
      </c>
      <c r="I44" s="6">
        <v>0</v>
      </c>
      <c r="J44" s="8">
        <f t="shared" si="48"/>
        <v>51.038</v>
      </c>
      <c r="K44" s="24" t="s">
        <v>386</v>
      </c>
      <c r="L44" s="3">
        <v>39.26</v>
      </c>
      <c r="M44" s="3">
        <v>30.15</v>
      </c>
      <c r="N44" s="17">
        <f>40.6*1.8</f>
        <v>73.08</v>
      </c>
      <c r="O44" s="8">
        <f t="shared" si="49"/>
        <v>39.26</v>
      </c>
      <c r="P44" s="7">
        <f t="shared" si="93"/>
        <v>76.557</v>
      </c>
      <c r="Q44" s="1">
        <f t="shared" si="50"/>
        <v>39.26</v>
      </c>
      <c r="R44" s="4">
        <f t="shared" si="51"/>
        <v>43.186</v>
      </c>
      <c r="S44" s="1">
        <f t="shared" si="52"/>
        <v>39.26</v>
      </c>
      <c r="T44" s="1">
        <v>50.43</v>
      </c>
      <c r="U44" s="27">
        <f>47.43*3.14</f>
        <v>148.9302</v>
      </c>
      <c r="V44" s="3">
        <f t="shared" si="53"/>
        <v>39.26</v>
      </c>
      <c r="W44" s="3">
        <f t="shared" si="54"/>
        <v>39.26</v>
      </c>
      <c r="X44" s="3">
        <f t="shared" si="55"/>
        <v>39.26</v>
      </c>
      <c r="Y44" s="3">
        <v>57.42</v>
      </c>
      <c r="Z44" s="3">
        <f t="shared" si="56"/>
        <v>37.297</v>
      </c>
      <c r="AA44" s="3">
        <f t="shared" si="57"/>
        <v>37.297</v>
      </c>
      <c r="AB44" s="3">
        <f t="shared" si="58"/>
        <v>39.26</v>
      </c>
      <c r="AC44" s="4">
        <f t="shared" si="59"/>
        <v>41.223</v>
      </c>
      <c r="AD44" s="3">
        <f t="shared" si="60"/>
        <v>39.26</v>
      </c>
      <c r="AE44" s="3">
        <f t="shared" si="61"/>
        <v>39.26</v>
      </c>
      <c r="AF44" s="3">
        <f t="shared" si="62"/>
        <v>36.1192</v>
      </c>
      <c r="AG44" s="4">
        <f t="shared" si="63"/>
        <v>82.446</v>
      </c>
      <c r="AH44" s="8">
        <f t="shared" si="94"/>
        <v>39.26</v>
      </c>
      <c r="AI44" s="8">
        <f t="shared" si="85"/>
        <v>39.26</v>
      </c>
      <c r="AJ44" s="4">
        <f t="shared" si="64"/>
        <v>53.3936</v>
      </c>
      <c r="AK44" s="1">
        <f t="shared" si="65"/>
        <v>39.26</v>
      </c>
      <c r="AL44" s="1">
        <f t="shared" si="66"/>
        <v>39.26</v>
      </c>
      <c r="AM44" s="2">
        <f t="shared" si="67"/>
        <v>39.26</v>
      </c>
      <c r="AN44" s="2">
        <f t="shared" si="68"/>
        <v>39.26</v>
      </c>
      <c r="AO44" s="3">
        <f t="shared" si="69"/>
        <v>30.15</v>
      </c>
      <c r="AP44" s="3">
        <f t="shared" si="95"/>
        <v>39.26</v>
      </c>
      <c r="AQ44" s="7">
        <f t="shared" si="70"/>
        <v>58.89</v>
      </c>
      <c r="AR44" s="1">
        <f t="shared" si="86"/>
        <v>75.375</v>
      </c>
      <c r="AS44" s="1">
        <f t="shared" si="71"/>
        <v>39.26</v>
      </c>
      <c r="AT44" s="3">
        <f t="shared" si="72"/>
        <v>47.112</v>
      </c>
      <c r="AU44" s="3">
        <f t="shared" si="96"/>
        <v>33.165</v>
      </c>
      <c r="AV44" s="1">
        <f t="shared" si="73"/>
        <v>39.26</v>
      </c>
      <c r="AW44" s="4">
        <f t="shared" si="74"/>
        <v>37.297</v>
      </c>
      <c r="AX44" s="3" t="str">
        <f t="shared" si="75"/>
        <v>34.55 Per Unit</v>
      </c>
      <c r="AY44" s="3">
        <f t="shared" si="76"/>
        <v>39.26</v>
      </c>
      <c r="AZ44" s="1">
        <f t="shared" si="87"/>
        <v>39.26</v>
      </c>
      <c r="BA44" s="3">
        <f t="shared" si="88"/>
        <v>39.26</v>
      </c>
      <c r="BB44" s="3">
        <f t="shared" si="89"/>
        <v>39.26</v>
      </c>
      <c r="BC44" s="3">
        <f t="shared" si="90"/>
        <v>43.186</v>
      </c>
      <c r="BD44" s="3">
        <f t="shared" si="91"/>
        <v>35.333999999999996</v>
      </c>
      <c r="BE44" s="3">
        <f t="shared" si="77"/>
        <v>100.113</v>
      </c>
      <c r="BF44" s="1">
        <f t="shared" si="78"/>
        <v>39.26</v>
      </c>
      <c r="BG44" s="8" t="str">
        <f t="shared" si="79"/>
        <v>37.3 Per Unit</v>
      </c>
      <c r="BH44" s="4">
        <f t="shared" si="80"/>
        <v>47.111999999999995</v>
      </c>
      <c r="BI44" s="1">
        <f t="shared" si="81"/>
        <v>39.26</v>
      </c>
      <c r="BJ44" s="3">
        <f t="shared" si="82"/>
        <v>37.297</v>
      </c>
      <c r="BK44" s="1">
        <f t="shared" si="83"/>
        <v>39.26</v>
      </c>
      <c r="BL44" s="3">
        <v>35.333999999999996</v>
      </c>
      <c r="BM44" s="8">
        <f t="shared" si="84"/>
        <v>39.26</v>
      </c>
      <c r="BN44" s="3">
        <f>MIN(N44:BM44:BM44)</f>
        <v>30.15</v>
      </c>
      <c r="BO44" s="3">
        <f t="shared" si="92"/>
        <v>148.9302</v>
      </c>
    </row>
    <row r="45" spans="1:67" ht="19.5" customHeight="1">
      <c r="A45" s="10">
        <f t="shared" si="44"/>
        <v>44</v>
      </c>
      <c r="B45" s="23">
        <v>84403</v>
      </c>
      <c r="C45" s="6">
        <v>3018440300</v>
      </c>
      <c r="D45" s="29" t="s">
        <v>30</v>
      </c>
      <c r="E45" s="11" t="s">
        <v>371</v>
      </c>
      <c r="F45" s="45">
        <v>77.43</v>
      </c>
      <c r="G45" s="23">
        <v>301</v>
      </c>
      <c r="H45" s="48">
        <v>0</v>
      </c>
      <c r="I45" s="6">
        <v>0</v>
      </c>
      <c r="J45" s="8">
        <f t="shared" si="48"/>
        <v>33.553</v>
      </c>
      <c r="K45" s="24" t="s">
        <v>386</v>
      </c>
      <c r="L45" s="3">
        <v>25.81</v>
      </c>
      <c r="M45" s="3">
        <v>22.8</v>
      </c>
      <c r="N45" s="17">
        <f>30.88*1.8</f>
        <v>55.583999999999996</v>
      </c>
      <c r="O45" s="8">
        <f t="shared" si="49"/>
        <v>25.81</v>
      </c>
      <c r="P45" s="7">
        <f t="shared" si="93"/>
        <v>50.3295</v>
      </c>
      <c r="Q45" s="1">
        <f t="shared" si="50"/>
        <v>25.81</v>
      </c>
      <c r="R45" s="4">
        <f t="shared" si="51"/>
        <v>28.391000000000002</v>
      </c>
      <c r="S45" s="1">
        <f t="shared" si="52"/>
        <v>25.81</v>
      </c>
      <c r="T45" s="1">
        <v>38.34</v>
      </c>
      <c r="U45" s="27">
        <f>36.08*3.14</f>
        <v>113.2912</v>
      </c>
      <c r="V45" s="3">
        <f t="shared" si="53"/>
        <v>25.81</v>
      </c>
      <c r="W45" s="3">
        <f t="shared" si="54"/>
        <v>25.81</v>
      </c>
      <c r="X45" s="3">
        <f t="shared" si="55"/>
        <v>25.81</v>
      </c>
      <c r="Y45" s="3">
        <v>37.76</v>
      </c>
      <c r="Z45" s="3">
        <f t="shared" si="56"/>
        <v>24.519499999999997</v>
      </c>
      <c r="AA45" s="3">
        <f t="shared" si="57"/>
        <v>24.519499999999997</v>
      </c>
      <c r="AB45" s="3">
        <f t="shared" si="58"/>
        <v>25.81</v>
      </c>
      <c r="AC45" s="4">
        <f t="shared" si="59"/>
        <v>27.1005</v>
      </c>
      <c r="AD45" s="3">
        <f t="shared" si="60"/>
        <v>25.81</v>
      </c>
      <c r="AE45" s="3">
        <f t="shared" si="61"/>
        <v>25.81</v>
      </c>
      <c r="AF45" s="3">
        <f t="shared" si="62"/>
        <v>23.7452</v>
      </c>
      <c r="AG45" s="4">
        <f t="shared" si="63"/>
        <v>54.201</v>
      </c>
      <c r="AH45" s="8">
        <f t="shared" si="94"/>
        <v>25.81</v>
      </c>
      <c r="AI45" s="8">
        <f t="shared" si="85"/>
        <v>25.81</v>
      </c>
      <c r="AJ45" s="4">
        <f t="shared" si="64"/>
        <v>35.1016</v>
      </c>
      <c r="AK45" s="1">
        <f t="shared" si="65"/>
        <v>25.81</v>
      </c>
      <c r="AL45" s="1">
        <f t="shared" si="66"/>
        <v>25.81</v>
      </c>
      <c r="AM45" s="2">
        <f t="shared" si="67"/>
        <v>25.81</v>
      </c>
      <c r="AN45" s="2">
        <f t="shared" si="68"/>
        <v>25.81</v>
      </c>
      <c r="AO45" s="3">
        <f t="shared" si="69"/>
        <v>22.8</v>
      </c>
      <c r="AP45" s="3">
        <f t="shared" si="95"/>
        <v>25.81</v>
      </c>
      <c r="AQ45" s="7">
        <f t="shared" si="70"/>
        <v>38.715</v>
      </c>
      <c r="AR45" s="1">
        <f t="shared" si="86"/>
        <v>57</v>
      </c>
      <c r="AS45" s="1">
        <f t="shared" si="71"/>
        <v>25.81</v>
      </c>
      <c r="AT45" s="3">
        <f t="shared" si="72"/>
        <v>30.972000000000005</v>
      </c>
      <c r="AU45" s="3">
        <f t="shared" si="96"/>
        <v>25.080000000000002</v>
      </c>
      <c r="AV45" s="1">
        <f t="shared" si="73"/>
        <v>25.81</v>
      </c>
      <c r="AW45" s="4">
        <f t="shared" si="74"/>
        <v>24.519499999999997</v>
      </c>
      <c r="AX45" s="3" t="str">
        <f t="shared" si="75"/>
        <v>22.71 Per Unit</v>
      </c>
      <c r="AY45" s="3">
        <f t="shared" si="76"/>
        <v>25.81</v>
      </c>
      <c r="AZ45" s="1">
        <f t="shared" si="87"/>
        <v>25.81</v>
      </c>
      <c r="BA45" s="3">
        <f t="shared" si="88"/>
        <v>25.81</v>
      </c>
      <c r="BB45" s="3">
        <f t="shared" si="89"/>
        <v>25.81</v>
      </c>
      <c r="BC45" s="3">
        <f t="shared" si="90"/>
        <v>28.391000000000002</v>
      </c>
      <c r="BD45" s="3">
        <f t="shared" si="91"/>
        <v>23.229</v>
      </c>
      <c r="BE45" s="3">
        <f t="shared" si="77"/>
        <v>65.8155</v>
      </c>
      <c r="BF45" s="1">
        <f t="shared" si="78"/>
        <v>25.81</v>
      </c>
      <c r="BG45" s="8" t="str">
        <f t="shared" si="79"/>
        <v>24.52 Per Unit</v>
      </c>
      <c r="BH45" s="4">
        <f t="shared" si="80"/>
        <v>30.971999999999998</v>
      </c>
      <c r="BI45" s="1">
        <f t="shared" si="81"/>
        <v>25.81</v>
      </c>
      <c r="BJ45" s="3">
        <f t="shared" si="82"/>
        <v>24.519499999999997</v>
      </c>
      <c r="BK45" s="1">
        <f t="shared" si="83"/>
        <v>25.81</v>
      </c>
      <c r="BL45" s="3">
        <v>23.229</v>
      </c>
      <c r="BM45" s="8">
        <f t="shared" si="84"/>
        <v>25.81</v>
      </c>
      <c r="BN45" s="3">
        <f>MIN(N45:BM45:BM45)</f>
        <v>22.8</v>
      </c>
      <c r="BO45" s="3">
        <f t="shared" si="92"/>
        <v>113.2912</v>
      </c>
    </row>
    <row r="46" spans="1:67" ht="19.5" customHeight="1">
      <c r="A46" s="10">
        <f t="shared" si="44"/>
        <v>45</v>
      </c>
      <c r="B46" s="23">
        <v>82746</v>
      </c>
      <c r="C46" s="6">
        <v>3018274600</v>
      </c>
      <c r="D46" s="29" t="s">
        <v>32</v>
      </c>
      <c r="E46" s="11" t="s">
        <v>371</v>
      </c>
      <c r="F46" s="45">
        <v>44.1</v>
      </c>
      <c r="G46" s="23">
        <v>301</v>
      </c>
      <c r="H46" s="48">
        <v>0</v>
      </c>
      <c r="I46" s="6">
        <v>0</v>
      </c>
      <c r="J46" s="8">
        <f t="shared" si="48"/>
        <v>19.11</v>
      </c>
      <c r="K46" s="24" t="s">
        <v>386</v>
      </c>
      <c r="L46" s="3">
        <v>14.7</v>
      </c>
      <c r="M46" s="3">
        <v>13.07</v>
      </c>
      <c r="N46" s="17">
        <f>17.59*1.8</f>
        <v>31.662</v>
      </c>
      <c r="O46" s="8">
        <f t="shared" si="49"/>
        <v>14.7</v>
      </c>
      <c r="P46" s="7">
        <f t="shared" si="93"/>
        <v>28.665000000000003</v>
      </c>
      <c r="Q46" s="1">
        <f t="shared" si="50"/>
        <v>14.7</v>
      </c>
      <c r="R46" s="4">
        <f t="shared" si="51"/>
        <v>16.17</v>
      </c>
      <c r="S46" s="1">
        <f t="shared" si="52"/>
        <v>14.7</v>
      </c>
      <c r="T46" s="1">
        <v>21.84</v>
      </c>
      <c r="U46" s="27">
        <f>20.54*3.14</f>
        <v>64.4956</v>
      </c>
      <c r="V46" s="3">
        <f t="shared" si="53"/>
        <v>14.7</v>
      </c>
      <c r="W46" s="3">
        <f t="shared" si="54"/>
        <v>14.7</v>
      </c>
      <c r="X46" s="3">
        <f t="shared" si="55"/>
        <v>14.7</v>
      </c>
      <c r="Y46" s="3">
        <v>21.51</v>
      </c>
      <c r="Z46" s="3">
        <f t="shared" si="56"/>
        <v>13.964999999999998</v>
      </c>
      <c r="AA46" s="3">
        <f t="shared" si="57"/>
        <v>13.964999999999998</v>
      </c>
      <c r="AB46" s="3">
        <f t="shared" si="58"/>
        <v>14.7</v>
      </c>
      <c r="AC46" s="4">
        <f t="shared" si="59"/>
        <v>15.435</v>
      </c>
      <c r="AD46" s="3">
        <f t="shared" si="60"/>
        <v>14.7</v>
      </c>
      <c r="AE46" s="3">
        <f t="shared" si="61"/>
        <v>14.7</v>
      </c>
      <c r="AF46" s="3">
        <f t="shared" si="62"/>
        <v>13.524</v>
      </c>
      <c r="AG46" s="4">
        <f t="shared" si="63"/>
        <v>30.869999999999997</v>
      </c>
      <c r="AH46" s="8">
        <f t="shared" si="94"/>
        <v>14.7</v>
      </c>
      <c r="AI46" s="8">
        <f t="shared" si="85"/>
        <v>14.7</v>
      </c>
      <c r="AJ46" s="4">
        <f t="shared" si="64"/>
        <v>19.992</v>
      </c>
      <c r="AK46" s="1">
        <f t="shared" si="65"/>
        <v>14.7</v>
      </c>
      <c r="AL46" s="1">
        <f t="shared" si="66"/>
        <v>14.7</v>
      </c>
      <c r="AM46" s="2">
        <f t="shared" si="67"/>
        <v>14.7</v>
      </c>
      <c r="AN46" s="2">
        <f t="shared" si="68"/>
        <v>14.7</v>
      </c>
      <c r="AO46" s="3">
        <f t="shared" si="69"/>
        <v>13.07</v>
      </c>
      <c r="AP46" s="3">
        <f t="shared" si="95"/>
        <v>14.7</v>
      </c>
      <c r="AQ46" s="7">
        <f t="shared" si="70"/>
        <v>22.05</v>
      </c>
      <c r="AR46" s="1">
        <f t="shared" si="86"/>
        <v>32.675</v>
      </c>
      <c r="AS46" s="1">
        <f t="shared" si="71"/>
        <v>14.7</v>
      </c>
      <c r="AT46" s="3">
        <f t="shared" si="72"/>
        <v>17.64</v>
      </c>
      <c r="AU46" s="3">
        <f t="shared" si="96"/>
        <v>14.377</v>
      </c>
      <c r="AV46" s="1">
        <f t="shared" si="73"/>
        <v>14.7</v>
      </c>
      <c r="AW46" s="4">
        <f t="shared" si="74"/>
        <v>13.964999999999998</v>
      </c>
      <c r="AX46" s="3" t="str">
        <f t="shared" si="75"/>
        <v>12.94 Per Unit</v>
      </c>
      <c r="AY46" s="3">
        <f t="shared" si="76"/>
        <v>14.7</v>
      </c>
      <c r="AZ46" s="1">
        <f t="shared" si="87"/>
        <v>14.7</v>
      </c>
      <c r="BA46" s="3">
        <f t="shared" si="88"/>
        <v>14.7</v>
      </c>
      <c r="BB46" s="3">
        <f t="shared" si="89"/>
        <v>14.7</v>
      </c>
      <c r="BC46" s="3">
        <f t="shared" si="90"/>
        <v>16.17</v>
      </c>
      <c r="BD46" s="3">
        <f t="shared" si="91"/>
        <v>13.23</v>
      </c>
      <c r="BE46" s="3">
        <f t="shared" si="77"/>
        <v>37.485</v>
      </c>
      <c r="BF46" s="1">
        <f t="shared" si="78"/>
        <v>14.7</v>
      </c>
      <c r="BG46" s="8" t="str">
        <f t="shared" si="79"/>
        <v>13.97 Per Unit</v>
      </c>
      <c r="BH46" s="4">
        <f t="shared" si="80"/>
        <v>17.639999999999997</v>
      </c>
      <c r="BI46" s="1">
        <f t="shared" si="81"/>
        <v>14.7</v>
      </c>
      <c r="BJ46" s="3">
        <f t="shared" si="82"/>
        <v>13.964999999999998</v>
      </c>
      <c r="BK46" s="1">
        <f t="shared" si="83"/>
        <v>14.7</v>
      </c>
      <c r="BL46" s="3">
        <v>13.23</v>
      </c>
      <c r="BM46" s="8">
        <f t="shared" si="84"/>
        <v>14.7</v>
      </c>
      <c r="BN46" s="3">
        <f>MIN(N46:BM46:BM46)</f>
        <v>13.07</v>
      </c>
      <c r="BO46" s="3">
        <f t="shared" si="92"/>
        <v>64.4956</v>
      </c>
    </row>
    <row r="47" spans="1:67" ht="19.5" customHeight="1">
      <c r="A47" s="10">
        <f t="shared" si="44"/>
        <v>46</v>
      </c>
      <c r="B47" s="23">
        <v>85651</v>
      </c>
      <c r="C47" s="6">
        <v>3058565100</v>
      </c>
      <c r="D47" s="30" t="s">
        <v>191</v>
      </c>
      <c r="E47" s="11" t="s">
        <v>371</v>
      </c>
      <c r="F47" s="45">
        <v>12.81</v>
      </c>
      <c r="G47" s="23">
        <v>305</v>
      </c>
      <c r="H47" s="48">
        <v>0</v>
      </c>
      <c r="I47" s="6">
        <v>0</v>
      </c>
      <c r="J47" s="8">
        <f t="shared" si="48"/>
        <v>5.550999999999999</v>
      </c>
      <c r="K47" s="24" t="s">
        <v>386</v>
      </c>
      <c r="L47" s="3">
        <v>4.27</v>
      </c>
      <c r="M47" s="3">
        <v>2.37</v>
      </c>
      <c r="N47" s="17">
        <f>4.25*1.8</f>
        <v>7.65</v>
      </c>
      <c r="O47" s="8">
        <f t="shared" si="49"/>
        <v>4.27</v>
      </c>
      <c r="P47" s="7">
        <f t="shared" si="93"/>
        <v>8.326500000000001</v>
      </c>
      <c r="Q47" s="1">
        <f t="shared" si="50"/>
        <v>4.27</v>
      </c>
      <c r="R47" s="4">
        <f t="shared" si="51"/>
        <v>4.697</v>
      </c>
      <c r="S47" s="1">
        <f t="shared" si="52"/>
        <v>4.27</v>
      </c>
      <c r="T47" s="1">
        <v>5.27</v>
      </c>
      <c r="U47" s="27">
        <f>4.96*3.14</f>
        <v>15.5744</v>
      </c>
      <c r="V47" s="3">
        <f t="shared" si="53"/>
        <v>4.27</v>
      </c>
      <c r="W47" s="3">
        <f t="shared" si="54"/>
        <v>4.27</v>
      </c>
      <c r="X47" s="3">
        <f t="shared" si="55"/>
        <v>4.27</v>
      </c>
      <c r="Y47" s="3">
        <v>6.26</v>
      </c>
      <c r="Z47" s="3">
        <f t="shared" si="56"/>
        <v>4.0565</v>
      </c>
      <c r="AA47" s="3">
        <f t="shared" si="57"/>
        <v>4.0565</v>
      </c>
      <c r="AB47" s="3">
        <f t="shared" si="58"/>
        <v>4.27</v>
      </c>
      <c r="AC47" s="4">
        <f t="shared" si="59"/>
        <v>4.483499999999999</v>
      </c>
      <c r="AD47" s="3">
        <f t="shared" si="60"/>
        <v>4.27</v>
      </c>
      <c r="AE47" s="3">
        <f t="shared" si="61"/>
        <v>4.27</v>
      </c>
      <c r="AF47" s="3">
        <f t="shared" si="62"/>
        <v>3.9284</v>
      </c>
      <c r="AG47" s="4">
        <f t="shared" si="63"/>
        <v>8.967</v>
      </c>
      <c r="AH47" s="8">
        <f t="shared" si="94"/>
        <v>4.27</v>
      </c>
      <c r="AI47" s="8">
        <f t="shared" si="85"/>
        <v>4.27</v>
      </c>
      <c r="AJ47" s="4">
        <f t="shared" si="64"/>
        <v>5.8072</v>
      </c>
      <c r="AK47" s="1">
        <f t="shared" si="65"/>
        <v>4.27</v>
      </c>
      <c r="AL47" s="1">
        <f t="shared" si="66"/>
        <v>4.27</v>
      </c>
      <c r="AM47" s="2">
        <f t="shared" si="67"/>
        <v>4.27</v>
      </c>
      <c r="AN47" s="2">
        <f t="shared" si="68"/>
        <v>4.27</v>
      </c>
      <c r="AO47" s="3">
        <f t="shared" si="69"/>
        <v>2.37</v>
      </c>
      <c r="AP47" s="3">
        <f t="shared" si="95"/>
        <v>4.27</v>
      </c>
      <c r="AQ47" s="7">
        <f t="shared" si="70"/>
        <v>6.405</v>
      </c>
      <c r="AR47" s="1">
        <f t="shared" si="86"/>
        <v>5.925000000000001</v>
      </c>
      <c r="AS47" s="1">
        <f t="shared" si="71"/>
        <v>4.27</v>
      </c>
      <c r="AT47" s="3">
        <f t="shared" si="72"/>
        <v>5.1240000000000006</v>
      </c>
      <c r="AU47" s="3">
        <f t="shared" si="96"/>
        <v>2.607</v>
      </c>
      <c r="AV47" s="1">
        <f t="shared" si="73"/>
        <v>4.27</v>
      </c>
      <c r="AW47" s="4">
        <f t="shared" si="74"/>
        <v>4.0565</v>
      </c>
      <c r="AX47" s="3" t="str">
        <f t="shared" si="75"/>
        <v>3.76 Per Unit</v>
      </c>
      <c r="AY47" s="3">
        <f t="shared" si="76"/>
        <v>4.27</v>
      </c>
      <c r="AZ47" s="1">
        <f t="shared" si="87"/>
        <v>4.27</v>
      </c>
      <c r="BA47" s="3">
        <f t="shared" si="88"/>
        <v>4.27</v>
      </c>
      <c r="BB47" s="3">
        <f t="shared" si="89"/>
        <v>4.27</v>
      </c>
      <c r="BC47" s="3">
        <f t="shared" si="90"/>
        <v>4.697</v>
      </c>
      <c r="BD47" s="3">
        <f t="shared" si="91"/>
        <v>3.8429999999999995</v>
      </c>
      <c r="BE47" s="3">
        <f t="shared" si="77"/>
        <v>10.8885</v>
      </c>
      <c r="BF47" s="1">
        <f t="shared" si="78"/>
        <v>4.27</v>
      </c>
      <c r="BG47" s="8" t="str">
        <f t="shared" si="79"/>
        <v>4.06 Per Unit</v>
      </c>
      <c r="BH47" s="4">
        <f t="shared" si="80"/>
        <v>5.124</v>
      </c>
      <c r="BI47" s="1">
        <f t="shared" si="81"/>
        <v>4.27</v>
      </c>
      <c r="BJ47" s="3">
        <f t="shared" si="82"/>
        <v>4.0565</v>
      </c>
      <c r="BK47" s="1">
        <f t="shared" si="83"/>
        <v>4.27</v>
      </c>
      <c r="BL47" s="3">
        <v>3.8429999999999995</v>
      </c>
      <c r="BM47" s="8">
        <f t="shared" si="84"/>
        <v>4.27</v>
      </c>
      <c r="BN47" s="3">
        <f>MIN(N47:BM47:BM47)</f>
        <v>2.37</v>
      </c>
      <c r="BO47" s="3">
        <f t="shared" si="92"/>
        <v>15.5744</v>
      </c>
    </row>
    <row r="48" spans="1:67" ht="19.5" customHeight="1">
      <c r="A48" s="10">
        <f t="shared" si="44"/>
        <v>47</v>
      </c>
      <c r="B48" s="23">
        <v>82607</v>
      </c>
      <c r="C48" s="6">
        <v>3018260700</v>
      </c>
      <c r="D48" s="29" t="s">
        <v>31</v>
      </c>
      <c r="E48" s="11" t="s">
        <v>371</v>
      </c>
      <c r="F48" s="45">
        <v>45.24</v>
      </c>
      <c r="G48" s="23">
        <v>301</v>
      </c>
      <c r="H48" s="48">
        <v>0</v>
      </c>
      <c r="I48" s="6">
        <v>0</v>
      </c>
      <c r="J48" s="16">
        <f t="shared" si="48"/>
        <v>19.604</v>
      </c>
      <c r="K48" s="24" t="s">
        <v>386</v>
      </c>
      <c r="L48" s="4">
        <v>15.08</v>
      </c>
      <c r="M48" s="3">
        <v>13.33</v>
      </c>
      <c r="N48" s="17">
        <f>18.03*1.8</f>
        <v>32.454</v>
      </c>
      <c r="O48" s="7">
        <f t="shared" si="49"/>
        <v>15.08</v>
      </c>
      <c r="P48" s="7">
        <f t="shared" si="93"/>
        <v>29.406000000000002</v>
      </c>
      <c r="Q48" s="1">
        <f t="shared" si="50"/>
        <v>15.08</v>
      </c>
      <c r="R48" s="4">
        <f t="shared" si="51"/>
        <v>16.588</v>
      </c>
      <c r="S48" s="1">
        <f t="shared" si="52"/>
        <v>15.08</v>
      </c>
      <c r="T48" s="1">
        <v>22.39</v>
      </c>
      <c r="U48" s="27">
        <f>21.06*3.14</f>
        <v>66.1284</v>
      </c>
      <c r="V48" s="2">
        <f t="shared" si="53"/>
        <v>15.08</v>
      </c>
      <c r="W48" s="2">
        <f t="shared" si="54"/>
        <v>15.08</v>
      </c>
      <c r="X48" s="3">
        <f t="shared" si="55"/>
        <v>15.08</v>
      </c>
      <c r="Y48" s="3">
        <v>22.05</v>
      </c>
      <c r="Z48" s="3">
        <f t="shared" si="56"/>
        <v>14.325999999999999</v>
      </c>
      <c r="AA48" s="3">
        <f t="shared" si="57"/>
        <v>14.325999999999999</v>
      </c>
      <c r="AB48" s="3">
        <f t="shared" si="58"/>
        <v>15.08</v>
      </c>
      <c r="AC48" s="4">
        <f t="shared" si="59"/>
        <v>15.834000000000001</v>
      </c>
      <c r="AD48" s="3">
        <f t="shared" si="60"/>
        <v>15.08</v>
      </c>
      <c r="AE48" s="3">
        <f t="shared" si="61"/>
        <v>15.08</v>
      </c>
      <c r="AF48" s="3">
        <f t="shared" si="62"/>
        <v>13.873600000000001</v>
      </c>
      <c r="AG48" s="4">
        <f t="shared" si="63"/>
        <v>31.668</v>
      </c>
      <c r="AH48" s="8">
        <f t="shared" si="94"/>
        <v>15.08</v>
      </c>
      <c r="AI48" s="8">
        <f t="shared" si="85"/>
        <v>15.08</v>
      </c>
      <c r="AJ48" s="4">
        <f t="shared" si="64"/>
        <v>20.5088</v>
      </c>
      <c r="AK48" s="2">
        <f t="shared" si="65"/>
        <v>15.08</v>
      </c>
      <c r="AL48" s="2">
        <f t="shared" si="66"/>
        <v>15.08</v>
      </c>
      <c r="AM48" s="2">
        <f t="shared" si="67"/>
        <v>15.08</v>
      </c>
      <c r="AN48" s="2">
        <f t="shared" si="68"/>
        <v>15.08</v>
      </c>
      <c r="AO48" s="3">
        <f t="shared" si="69"/>
        <v>13.33</v>
      </c>
      <c r="AP48" s="3">
        <f t="shared" si="95"/>
        <v>15.08</v>
      </c>
      <c r="AQ48" s="7">
        <f t="shared" si="70"/>
        <v>22.62</v>
      </c>
      <c r="AR48" s="1">
        <f t="shared" si="86"/>
        <v>33.325</v>
      </c>
      <c r="AS48" s="1">
        <f t="shared" si="71"/>
        <v>15.08</v>
      </c>
      <c r="AT48" s="3">
        <f t="shared" si="72"/>
        <v>18.096</v>
      </c>
      <c r="AU48" s="3">
        <f t="shared" si="96"/>
        <v>14.663000000000002</v>
      </c>
      <c r="AV48" s="1">
        <f t="shared" si="73"/>
        <v>15.08</v>
      </c>
      <c r="AW48" s="4">
        <f t="shared" si="74"/>
        <v>14.325999999999999</v>
      </c>
      <c r="AX48" s="3" t="str">
        <f t="shared" si="75"/>
        <v>13.27 Per Unit</v>
      </c>
      <c r="AY48" s="3">
        <f t="shared" si="76"/>
        <v>15.08</v>
      </c>
      <c r="AZ48" s="1">
        <f t="shared" si="87"/>
        <v>15.08</v>
      </c>
      <c r="BA48" s="3">
        <f t="shared" si="88"/>
        <v>15.08</v>
      </c>
      <c r="BB48" s="3">
        <f t="shared" si="89"/>
        <v>15.08</v>
      </c>
      <c r="BC48" s="3">
        <f t="shared" si="90"/>
        <v>16.588</v>
      </c>
      <c r="BD48" s="3">
        <f t="shared" si="91"/>
        <v>13.572000000000001</v>
      </c>
      <c r="BE48" s="3">
        <f t="shared" si="77"/>
        <v>38.454</v>
      </c>
      <c r="BF48" s="1">
        <f t="shared" si="78"/>
        <v>15.08</v>
      </c>
      <c r="BG48" s="8" t="str">
        <f t="shared" si="79"/>
        <v>14.33 Per Unit</v>
      </c>
      <c r="BH48" s="4">
        <f t="shared" si="80"/>
        <v>18.096</v>
      </c>
      <c r="BI48" s="2">
        <f t="shared" si="81"/>
        <v>15.08</v>
      </c>
      <c r="BJ48" s="3">
        <f t="shared" si="82"/>
        <v>14.325999999999999</v>
      </c>
      <c r="BK48" s="1">
        <f t="shared" si="83"/>
        <v>15.08</v>
      </c>
      <c r="BL48" s="3">
        <v>13.572000000000001</v>
      </c>
      <c r="BM48" s="8">
        <f t="shared" si="84"/>
        <v>15.08</v>
      </c>
      <c r="BN48" s="1">
        <f>MIN(N48:BM48:BM48)</f>
        <v>13.33</v>
      </c>
      <c r="BO48" s="3">
        <f t="shared" si="92"/>
        <v>66.1284</v>
      </c>
    </row>
    <row r="49" spans="1:67" ht="19.5" customHeight="1">
      <c r="A49" s="10">
        <f t="shared" si="44"/>
        <v>48</v>
      </c>
      <c r="B49" s="23">
        <v>84305</v>
      </c>
      <c r="C49" s="6">
        <v>3018430500</v>
      </c>
      <c r="D49" s="29" t="s">
        <v>344</v>
      </c>
      <c r="E49" s="11" t="s">
        <v>371</v>
      </c>
      <c r="F49" s="45">
        <v>63.78</v>
      </c>
      <c r="G49" s="23">
        <v>301</v>
      </c>
      <c r="H49" s="48">
        <v>0</v>
      </c>
      <c r="I49" s="6">
        <v>0</v>
      </c>
      <c r="J49" s="8">
        <f t="shared" si="48"/>
        <v>27.638</v>
      </c>
      <c r="K49" s="24" t="s">
        <v>386</v>
      </c>
      <c r="L49" s="3">
        <v>21.26</v>
      </c>
      <c r="M49" s="3">
        <v>18.39</v>
      </c>
      <c r="N49" s="17">
        <f>25.43*1.8</f>
        <v>45.774</v>
      </c>
      <c r="O49" s="8">
        <f t="shared" si="49"/>
        <v>21.26</v>
      </c>
      <c r="P49" s="7">
        <f t="shared" si="93"/>
        <v>41.457</v>
      </c>
      <c r="Q49" s="1">
        <f t="shared" si="50"/>
        <v>21.26</v>
      </c>
      <c r="R49" s="4">
        <f t="shared" si="51"/>
        <v>23.386000000000003</v>
      </c>
      <c r="S49" s="1">
        <f t="shared" si="52"/>
        <v>21.26</v>
      </c>
      <c r="T49" s="1">
        <v>25.26</v>
      </c>
      <c r="U49" s="27">
        <f>25.69*3.14</f>
        <v>80.6666</v>
      </c>
      <c r="V49" s="3">
        <f t="shared" si="53"/>
        <v>21.26</v>
      </c>
      <c r="W49" s="3">
        <f t="shared" si="54"/>
        <v>21.26</v>
      </c>
      <c r="X49" s="3">
        <f t="shared" si="55"/>
        <v>21.26</v>
      </c>
      <c r="Y49" s="3">
        <v>31.1</v>
      </c>
      <c r="Z49" s="3">
        <f t="shared" si="56"/>
        <v>20.197</v>
      </c>
      <c r="AA49" s="3">
        <f t="shared" si="57"/>
        <v>20.197</v>
      </c>
      <c r="AB49" s="3">
        <f t="shared" si="58"/>
        <v>21.26</v>
      </c>
      <c r="AC49" s="4">
        <f t="shared" si="59"/>
        <v>22.323000000000004</v>
      </c>
      <c r="AD49" s="3">
        <f t="shared" si="60"/>
        <v>21.26</v>
      </c>
      <c r="AE49" s="3">
        <f t="shared" si="61"/>
        <v>21.26</v>
      </c>
      <c r="AF49" s="3">
        <f t="shared" si="62"/>
        <v>19.5592</v>
      </c>
      <c r="AG49" s="4">
        <f t="shared" si="63"/>
        <v>44.646</v>
      </c>
      <c r="AH49" s="8">
        <f t="shared" si="94"/>
        <v>21.26</v>
      </c>
      <c r="AI49" s="8">
        <f t="shared" si="85"/>
        <v>21.26</v>
      </c>
      <c r="AJ49" s="4">
        <f t="shared" si="64"/>
        <v>28.913600000000006</v>
      </c>
      <c r="AK49" s="1">
        <f t="shared" si="65"/>
        <v>21.26</v>
      </c>
      <c r="AL49" s="1">
        <f t="shared" si="66"/>
        <v>21.26</v>
      </c>
      <c r="AM49" s="2">
        <f t="shared" si="67"/>
        <v>21.26</v>
      </c>
      <c r="AN49" s="2">
        <f t="shared" si="68"/>
        <v>21.26</v>
      </c>
      <c r="AO49" s="3">
        <f t="shared" si="69"/>
        <v>18.39</v>
      </c>
      <c r="AP49" s="3">
        <f t="shared" si="95"/>
        <v>21.26</v>
      </c>
      <c r="AQ49" s="7">
        <f t="shared" si="70"/>
        <v>31.89</v>
      </c>
      <c r="AR49" s="1">
        <f t="shared" si="86"/>
        <v>45.975</v>
      </c>
      <c r="AS49" s="1">
        <f t="shared" si="71"/>
        <v>21.26</v>
      </c>
      <c r="AT49" s="3">
        <f t="shared" si="72"/>
        <v>25.512</v>
      </c>
      <c r="AU49" s="3">
        <f t="shared" si="96"/>
        <v>20.229000000000003</v>
      </c>
      <c r="AV49" s="1">
        <f t="shared" si="73"/>
        <v>21.26</v>
      </c>
      <c r="AW49" s="4">
        <f t="shared" si="74"/>
        <v>20.197</v>
      </c>
      <c r="AX49" s="3" t="str">
        <f t="shared" si="75"/>
        <v>18.71 Per Unit</v>
      </c>
      <c r="AY49" s="3">
        <f t="shared" si="76"/>
        <v>21.26</v>
      </c>
      <c r="AZ49" s="1">
        <f t="shared" si="87"/>
        <v>21.26</v>
      </c>
      <c r="BA49" s="3">
        <f t="shared" si="88"/>
        <v>21.26</v>
      </c>
      <c r="BB49" s="3">
        <f t="shared" si="89"/>
        <v>21.26</v>
      </c>
      <c r="BC49" s="3">
        <f t="shared" si="90"/>
        <v>23.386000000000003</v>
      </c>
      <c r="BD49" s="3">
        <f t="shared" si="91"/>
        <v>19.134</v>
      </c>
      <c r="BE49" s="3">
        <f t="shared" si="77"/>
        <v>54.213</v>
      </c>
      <c r="BF49" s="1">
        <f t="shared" si="78"/>
        <v>21.26</v>
      </c>
      <c r="BG49" s="8" t="str">
        <f t="shared" si="79"/>
        <v>20.2 Per Unit</v>
      </c>
      <c r="BH49" s="4">
        <f t="shared" si="80"/>
        <v>25.512</v>
      </c>
      <c r="BI49" s="1">
        <f t="shared" si="81"/>
        <v>21.26</v>
      </c>
      <c r="BJ49" s="3">
        <f t="shared" si="82"/>
        <v>20.197</v>
      </c>
      <c r="BK49" s="1">
        <f t="shared" si="83"/>
        <v>21.26</v>
      </c>
      <c r="BL49" s="3">
        <v>19.134</v>
      </c>
      <c r="BM49" s="8">
        <f t="shared" si="84"/>
        <v>21.26</v>
      </c>
      <c r="BN49" s="3">
        <f>MIN(N49:BM49:BM49)</f>
        <v>18.39</v>
      </c>
      <c r="BO49" s="3">
        <f t="shared" si="92"/>
        <v>80.6666</v>
      </c>
    </row>
    <row r="50" spans="1:67" ht="19.5" customHeight="1">
      <c r="A50" s="10">
        <f t="shared" si="44"/>
        <v>49</v>
      </c>
      <c r="B50" s="23">
        <v>84520</v>
      </c>
      <c r="C50" s="6">
        <v>3018452000</v>
      </c>
      <c r="D50" s="29" t="s">
        <v>21</v>
      </c>
      <c r="E50" s="11" t="s">
        <v>371</v>
      </c>
      <c r="F50" s="45">
        <v>11.85</v>
      </c>
      <c r="G50" s="23">
        <v>301</v>
      </c>
      <c r="H50" s="48">
        <v>0</v>
      </c>
      <c r="I50" s="6">
        <v>0</v>
      </c>
      <c r="J50" s="8">
        <f t="shared" si="48"/>
        <v>5.135000000000001</v>
      </c>
      <c r="K50" s="24" t="s">
        <v>386</v>
      </c>
      <c r="L50" s="3">
        <v>3.95</v>
      </c>
      <c r="M50" s="3">
        <v>3.15</v>
      </c>
      <c r="N50" s="17">
        <f>4.73*1.8</f>
        <v>8.514000000000001</v>
      </c>
      <c r="O50" s="8">
        <f t="shared" si="49"/>
        <v>3.95</v>
      </c>
      <c r="P50" s="7">
        <f t="shared" si="93"/>
        <v>7.7025</v>
      </c>
      <c r="Q50" s="1">
        <f t="shared" si="50"/>
        <v>3.95</v>
      </c>
      <c r="R50" s="4">
        <f t="shared" si="51"/>
        <v>4.345000000000001</v>
      </c>
      <c r="S50" s="1">
        <f t="shared" si="52"/>
        <v>3.95</v>
      </c>
      <c r="T50" s="1">
        <v>5.86</v>
      </c>
      <c r="U50" s="27">
        <f>5.51*3.14</f>
        <v>17.3014</v>
      </c>
      <c r="V50" s="3">
        <f t="shared" si="53"/>
        <v>3.95</v>
      </c>
      <c r="W50" s="3">
        <f t="shared" si="54"/>
        <v>3.95</v>
      </c>
      <c r="X50" s="3">
        <f t="shared" si="55"/>
        <v>3.95</v>
      </c>
      <c r="Y50" s="3">
        <v>5.79</v>
      </c>
      <c r="Z50" s="3">
        <f t="shared" si="56"/>
        <v>3.7525</v>
      </c>
      <c r="AA50" s="3">
        <f t="shared" si="57"/>
        <v>3.7525</v>
      </c>
      <c r="AB50" s="3">
        <f t="shared" si="58"/>
        <v>3.95</v>
      </c>
      <c r="AC50" s="4">
        <f t="shared" si="59"/>
        <v>4.1475</v>
      </c>
      <c r="AD50" s="3">
        <f t="shared" si="60"/>
        <v>3.95</v>
      </c>
      <c r="AE50" s="3">
        <f t="shared" si="61"/>
        <v>3.95</v>
      </c>
      <c r="AF50" s="3">
        <f t="shared" si="62"/>
        <v>3.6340000000000003</v>
      </c>
      <c r="AG50" s="4">
        <f t="shared" si="63"/>
        <v>8.295</v>
      </c>
      <c r="AH50" s="8">
        <f t="shared" si="94"/>
        <v>3.95</v>
      </c>
      <c r="AI50" s="8">
        <f t="shared" si="85"/>
        <v>3.95</v>
      </c>
      <c r="AJ50" s="4">
        <f t="shared" si="64"/>
        <v>5.372000000000001</v>
      </c>
      <c r="AK50" s="1">
        <f t="shared" si="65"/>
        <v>3.95</v>
      </c>
      <c r="AL50" s="1">
        <f t="shared" si="66"/>
        <v>3.95</v>
      </c>
      <c r="AM50" s="2">
        <f t="shared" si="67"/>
        <v>3.95</v>
      </c>
      <c r="AN50" s="2">
        <f t="shared" si="68"/>
        <v>3.95</v>
      </c>
      <c r="AO50" s="3">
        <f t="shared" si="69"/>
        <v>3.15</v>
      </c>
      <c r="AP50" s="3">
        <f t="shared" si="95"/>
        <v>3.95</v>
      </c>
      <c r="AQ50" s="7">
        <f t="shared" si="70"/>
        <v>5.925</v>
      </c>
      <c r="AR50" s="1">
        <f t="shared" si="86"/>
        <v>7.875</v>
      </c>
      <c r="AS50" s="1">
        <f t="shared" si="71"/>
        <v>3.95</v>
      </c>
      <c r="AT50" s="3">
        <f t="shared" si="72"/>
        <v>4.74</v>
      </c>
      <c r="AU50" s="3">
        <f t="shared" si="96"/>
        <v>3.4650000000000003</v>
      </c>
      <c r="AV50" s="1">
        <f t="shared" si="73"/>
        <v>3.95</v>
      </c>
      <c r="AW50" s="4">
        <f t="shared" si="74"/>
        <v>3.7525</v>
      </c>
      <c r="AX50" s="3" t="str">
        <f t="shared" si="75"/>
        <v>3.48 Per Unit</v>
      </c>
      <c r="AY50" s="3">
        <f t="shared" si="76"/>
        <v>3.95</v>
      </c>
      <c r="AZ50" s="1">
        <f t="shared" si="87"/>
        <v>3.95</v>
      </c>
      <c r="BA50" s="3">
        <f t="shared" si="88"/>
        <v>3.95</v>
      </c>
      <c r="BB50" s="3">
        <f t="shared" si="89"/>
        <v>3.95</v>
      </c>
      <c r="BC50" s="3">
        <f t="shared" si="90"/>
        <v>4.345000000000001</v>
      </c>
      <c r="BD50" s="3">
        <f t="shared" si="91"/>
        <v>3.555</v>
      </c>
      <c r="BE50" s="3">
        <f t="shared" si="77"/>
        <v>10.0725</v>
      </c>
      <c r="BF50" s="1">
        <f t="shared" si="78"/>
        <v>3.95</v>
      </c>
      <c r="BG50" s="8" t="str">
        <f t="shared" si="79"/>
        <v>3.75 Per Unit</v>
      </c>
      <c r="BH50" s="4">
        <f t="shared" si="80"/>
        <v>4.74</v>
      </c>
      <c r="BI50" s="1">
        <f t="shared" si="81"/>
        <v>3.95</v>
      </c>
      <c r="BJ50" s="3">
        <f t="shared" si="82"/>
        <v>3.7525</v>
      </c>
      <c r="BK50" s="1">
        <f t="shared" si="83"/>
        <v>3.95</v>
      </c>
      <c r="BL50" s="3">
        <v>3.555</v>
      </c>
      <c r="BM50" s="8">
        <f t="shared" si="84"/>
        <v>3.95</v>
      </c>
      <c r="BN50" s="3">
        <f>MIN(N50:BM50:BM50)</f>
        <v>3.15</v>
      </c>
      <c r="BO50" s="3">
        <f t="shared" si="92"/>
        <v>17.3014</v>
      </c>
    </row>
    <row r="51" spans="1:67" ht="19.5" customHeight="1">
      <c r="A51" s="10">
        <f t="shared" si="44"/>
        <v>50</v>
      </c>
      <c r="B51" s="23">
        <v>87086</v>
      </c>
      <c r="C51" s="6">
        <v>3068708600</v>
      </c>
      <c r="D51" s="30" t="s">
        <v>345</v>
      </c>
      <c r="E51" s="11" t="s">
        <v>371</v>
      </c>
      <c r="F51" s="45">
        <v>24.21</v>
      </c>
      <c r="G51" s="23">
        <v>306</v>
      </c>
      <c r="H51" s="48">
        <v>0</v>
      </c>
      <c r="I51" s="6">
        <v>0</v>
      </c>
      <c r="J51" s="8">
        <f t="shared" si="48"/>
        <v>10.491000000000001</v>
      </c>
      <c r="K51" s="24" t="s">
        <v>386</v>
      </c>
      <c r="L51" s="3">
        <v>8.07</v>
      </c>
      <c r="M51" s="3">
        <v>7.15</v>
      </c>
      <c r="N51" s="17">
        <f>9.66*1.8</f>
        <v>17.388</v>
      </c>
      <c r="O51" s="8">
        <f t="shared" si="49"/>
        <v>8.07</v>
      </c>
      <c r="P51" s="7">
        <f t="shared" si="93"/>
        <v>15.736500000000001</v>
      </c>
      <c r="Q51" s="1">
        <f t="shared" si="50"/>
        <v>8.07</v>
      </c>
      <c r="R51" s="4">
        <f t="shared" si="51"/>
        <v>8.877</v>
      </c>
      <c r="S51" s="1">
        <f t="shared" si="52"/>
        <v>8.07</v>
      </c>
      <c r="T51" s="1">
        <v>11.82</v>
      </c>
      <c r="U51" s="27">
        <f>11.28*3.14</f>
        <v>35.4192</v>
      </c>
      <c r="V51" s="3">
        <f t="shared" si="53"/>
        <v>8.07</v>
      </c>
      <c r="W51" s="3">
        <f t="shared" si="54"/>
        <v>8.07</v>
      </c>
      <c r="X51" s="3">
        <f t="shared" si="55"/>
        <v>8.07</v>
      </c>
      <c r="Y51" s="3">
        <v>11.82</v>
      </c>
      <c r="Z51" s="3">
        <f t="shared" si="56"/>
        <v>7.6665</v>
      </c>
      <c r="AA51" s="3">
        <f t="shared" si="57"/>
        <v>7.6665</v>
      </c>
      <c r="AB51" s="3">
        <f t="shared" si="58"/>
        <v>8.07</v>
      </c>
      <c r="AC51" s="4">
        <f t="shared" si="59"/>
        <v>8.473500000000001</v>
      </c>
      <c r="AD51" s="3">
        <f t="shared" si="60"/>
        <v>8.07</v>
      </c>
      <c r="AE51" s="3">
        <f t="shared" si="61"/>
        <v>8.07</v>
      </c>
      <c r="AF51" s="3">
        <f t="shared" si="62"/>
        <v>7.4244</v>
      </c>
      <c r="AG51" s="4">
        <f t="shared" si="63"/>
        <v>16.947</v>
      </c>
      <c r="AH51" s="8">
        <f t="shared" si="94"/>
        <v>8.07</v>
      </c>
      <c r="AI51" s="8">
        <f t="shared" si="85"/>
        <v>8.07</v>
      </c>
      <c r="AJ51" s="4">
        <f t="shared" si="64"/>
        <v>10.975200000000001</v>
      </c>
      <c r="AK51" s="1">
        <f t="shared" si="65"/>
        <v>8.07</v>
      </c>
      <c r="AL51" s="1">
        <f t="shared" si="66"/>
        <v>8.07</v>
      </c>
      <c r="AM51" s="2">
        <f t="shared" si="67"/>
        <v>8.07</v>
      </c>
      <c r="AN51" s="2">
        <f t="shared" si="68"/>
        <v>8.07</v>
      </c>
      <c r="AO51" s="3">
        <f t="shared" si="69"/>
        <v>7.15</v>
      </c>
      <c r="AP51" s="3">
        <f t="shared" si="95"/>
        <v>8.07</v>
      </c>
      <c r="AQ51" s="7">
        <f t="shared" si="70"/>
        <v>12.105</v>
      </c>
      <c r="AR51" s="1">
        <f t="shared" si="86"/>
        <v>17.875</v>
      </c>
      <c r="AS51" s="1">
        <f t="shared" si="71"/>
        <v>8.07</v>
      </c>
      <c r="AT51" s="3">
        <f t="shared" si="72"/>
        <v>9.684000000000001</v>
      </c>
      <c r="AU51" s="3">
        <f t="shared" si="96"/>
        <v>7.865000000000001</v>
      </c>
      <c r="AV51" s="1">
        <f t="shared" si="73"/>
        <v>8.07</v>
      </c>
      <c r="AW51" s="4">
        <f t="shared" si="74"/>
        <v>7.6665</v>
      </c>
      <c r="AX51" s="3" t="str">
        <f t="shared" si="75"/>
        <v>7.1 Per Unit</v>
      </c>
      <c r="AY51" s="3">
        <f t="shared" si="76"/>
        <v>8.07</v>
      </c>
      <c r="AZ51" s="1">
        <f t="shared" si="87"/>
        <v>8.07</v>
      </c>
      <c r="BA51" s="3">
        <f t="shared" si="88"/>
        <v>8.07</v>
      </c>
      <c r="BB51" s="3">
        <f t="shared" si="89"/>
        <v>8.07</v>
      </c>
      <c r="BC51" s="3">
        <f t="shared" si="90"/>
        <v>8.877</v>
      </c>
      <c r="BD51" s="3">
        <f t="shared" si="91"/>
        <v>7.263000000000001</v>
      </c>
      <c r="BE51" s="3">
        <f t="shared" si="77"/>
        <v>20.578500000000002</v>
      </c>
      <c r="BF51" s="1">
        <f t="shared" si="78"/>
        <v>8.07</v>
      </c>
      <c r="BG51" s="8" t="str">
        <f t="shared" si="79"/>
        <v>7.67 Per Unit</v>
      </c>
      <c r="BH51" s="4">
        <f t="shared" si="80"/>
        <v>9.684</v>
      </c>
      <c r="BI51" s="1">
        <f t="shared" si="81"/>
        <v>8.07</v>
      </c>
      <c r="BJ51" s="3">
        <f t="shared" si="82"/>
        <v>7.6665</v>
      </c>
      <c r="BK51" s="1">
        <f t="shared" si="83"/>
        <v>8.07</v>
      </c>
      <c r="BL51" s="3">
        <v>7.263000000000001</v>
      </c>
      <c r="BM51" s="8">
        <f t="shared" si="84"/>
        <v>8.07</v>
      </c>
      <c r="BN51" s="3">
        <f>MIN(N51:BM51:BM51)</f>
        <v>7.15</v>
      </c>
      <c r="BO51" s="3">
        <f t="shared" si="92"/>
        <v>35.4192</v>
      </c>
    </row>
    <row r="52" spans="1:67" ht="19.5" customHeight="1">
      <c r="A52" s="10">
        <f t="shared" si="44"/>
        <v>51</v>
      </c>
      <c r="B52" s="23">
        <v>84134</v>
      </c>
      <c r="C52" s="6">
        <v>3018413400</v>
      </c>
      <c r="D52" s="30" t="s">
        <v>196</v>
      </c>
      <c r="E52" s="11" t="s">
        <v>371</v>
      </c>
      <c r="F52" s="45">
        <v>44.37</v>
      </c>
      <c r="G52" s="23">
        <v>301</v>
      </c>
      <c r="H52" s="48">
        <v>0</v>
      </c>
      <c r="I52" s="6">
        <v>0</v>
      </c>
      <c r="J52" s="8">
        <f t="shared" si="48"/>
        <v>18.967</v>
      </c>
      <c r="K52" s="24" t="s">
        <v>386</v>
      </c>
      <c r="L52" s="3">
        <v>14.59</v>
      </c>
      <c r="M52" s="3">
        <v>12.47</v>
      </c>
      <c r="N52" s="17">
        <f>17.44*1.8</f>
        <v>31.392000000000003</v>
      </c>
      <c r="O52" s="8">
        <f t="shared" si="49"/>
        <v>14.59</v>
      </c>
      <c r="P52" s="7">
        <f t="shared" si="93"/>
        <v>28.8405</v>
      </c>
      <c r="Q52" s="1">
        <f t="shared" si="50"/>
        <v>14.59</v>
      </c>
      <c r="R52" s="4">
        <f t="shared" si="51"/>
        <v>16.049</v>
      </c>
      <c r="S52" s="1">
        <f t="shared" si="52"/>
        <v>14.59</v>
      </c>
      <c r="T52" s="1">
        <v>21.73</v>
      </c>
      <c r="U52" s="27">
        <f>20.38*3.14</f>
        <v>63.9932</v>
      </c>
      <c r="V52" s="3">
        <f t="shared" si="53"/>
        <v>14.59</v>
      </c>
      <c r="W52" s="3">
        <f t="shared" si="54"/>
        <v>14.59</v>
      </c>
      <c r="X52" s="3">
        <f t="shared" si="55"/>
        <v>14.59</v>
      </c>
      <c r="Y52" s="3">
        <v>21.33</v>
      </c>
      <c r="Z52" s="3">
        <f t="shared" si="56"/>
        <v>13.8605</v>
      </c>
      <c r="AA52" s="3">
        <f t="shared" si="57"/>
        <v>13.8605</v>
      </c>
      <c r="AB52" s="3">
        <f t="shared" si="58"/>
        <v>14.59</v>
      </c>
      <c r="AC52" s="4">
        <f t="shared" si="59"/>
        <v>15.3195</v>
      </c>
      <c r="AD52" s="3">
        <f t="shared" si="60"/>
        <v>14.59</v>
      </c>
      <c r="AE52" s="3">
        <f t="shared" si="61"/>
        <v>14.59</v>
      </c>
      <c r="AF52" s="3">
        <f t="shared" si="62"/>
        <v>13.4228</v>
      </c>
      <c r="AG52" s="4">
        <f t="shared" si="63"/>
        <v>31.058999999999997</v>
      </c>
      <c r="AH52" s="8">
        <f t="shared" si="94"/>
        <v>14.59</v>
      </c>
      <c r="AI52" s="8">
        <f t="shared" si="85"/>
        <v>14.59</v>
      </c>
      <c r="AJ52" s="4">
        <f t="shared" si="64"/>
        <v>19.8424</v>
      </c>
      <c r="AK52" s="1">
        <f t="shared" si="65"/>
        <v>14.59</v>
      </c>
      <c r="AL52" s="1">
        <f t="shared" si="66"/>
        <v>14.59</v>
      </c>
      <c r="AM52" s="2">
        <f t="shared" si="67"/>
        <v>14.59</v>
      </c>
      <c r="AN52" s="2">
        <f t="shared" si="68"/>
        <v>14.59</v>
      </c>
      <c r="AO52" s="3">
        <f t="shared" si="69"/>
        <v>12.47</v>
      </c>
      <c r="AP52" s="3">
        <f t="shared" si="95"/>
        <v>14.59</v>
      </c>
      <c r="AQ52" s="7">
        <f t="shared" si="70"/>
        <v>22.185</v>
      </c>
      <c r="AR52" s="1">
        <f t="shared" si="86"/>
        <v>31.175</v>
      </c>
      <c r="AS52" s="1">
        <f t="shared" si="71"/>
        <v>14.59</v>
      </c>
      <c r="AT52" s="3">
        <f t="shared" si="72"/>
        <v>17.748</v>
      </c>
      <c r="AU52" s="3">
        <f t="shared" si="96"/>
        <v>13.717000000000002</v>
      </c>
      <c r="AV52" s="1">
        <f t="shared" si="73"/>
        <v>14.59</v>
      </c>
      <c r="AW52" s="4">
        <f t="shared" si="74"/>
        <v>13.8605</v>
      </c>
      <c r="AX52" s="3" t="str">
        <f t="shared" si="75"/>
        <v>12.84 Per Unit</v>
      </c>
      <c r="AY52" s="3">
        <f t="shared" si="76"/>
        <v>14.59</v>
      </c>
      <c r="AZ52" s="1">
        <f t="shared" si="87"/>
        <v>14.59</v>
      </c>
      <c r="BA52" s="3">
        <f t="shared" si="88"/>
        <v>14.59</v>
      </c>
      <c r="BB52" s="3">
        <f t="shared" si="89"/>
        <v>14.59</v>
      </c>
      <c r="BC52" s="3">
        <f t="shared" si="90"/>
        <v>16.049</v>
      </c>
      <c r="BD52" s="3">
        <f t="shared" si="91"/>
        <v>13.131</v>
      </c>
      <c r="BE52" s="3">
        <f t="shared" si="77"/>
        <v>37.714499999999994</v>
      </c>
      <c r="BF52" s="1">
        <f t="shared" si="78"/>
        <v>14.59</v>
      </c>
      <c r="BG52" s="8" t="str">
        <f t="shared" si="79"/>
        <v>13.86 Per Unit</v>
      </c>
      <c r="BH52" s="4">
        <f t="shared" si="80"/>
        <v>17.508</v>
      </c>
      <c r="BI52" s="1">
        <f t="shared" si="81"/>
        <v>14.59</v>
      </c>
      <c r="BJ52" s="3">
        <f t="shared" si="82"/>
        <v>13.8605</v>
      </c>
      <c r="BK52" s="1">
        <f t="shared" si="83"/>
        <v>14.59</v>
      </c>
      <c r="BL52" s="3">
        <v>13.131</v>
      </c>
      <c r="BM52" s="8">
        <f t="shared" si="84"/>
        <v>14.59</v>
      </c>
      <c r="BN52" s="3">
        <f>MIN(N52:BM52:BM52)</f>
        <v>12.47</v>
      </c>
      <c r="BO52" s="3">
        <f t="shared" si="92"/>
        <v>63.9932</v>
      </c>
    </row>
    <row r="53" spans="1:67" ht="19.5" customHeight="1">
      <c r="A53" s="10">
        <f t="shared" si="44"/>
        <v>52</v>
      </c>
      <c r="B53" s="23">
        <v>83970</v>
      </c>
      <c r="C53" s="6">
        <v>3018397000</v>
      </c>
      <c r="D53" s="29" t="s">
        <v>38</v>
      </c>
      <c r="E53" s="11" t="s">
        <v>371</v>
      </c>
      <c r="F53" s="45">
        <v>123.84</v>
      </c>
      <c r="G53" s="23">
        <v>301</v>
      </c>
      <c r="H53" s="48">
        <v>0</v>
      </c>
      <c r="I53" s="6">
        <v>0</v>
      </c>
      <c r="J53" s="8">
        <f t="shared" si="48"/>
        <v>53.664</v>
      </c>
      <c r="K53" s="24" t="s">
        <v>386</v>
      </c>
      <c r="L53" s="3">
        <v>41.28</v>
      </c>
      <c r="M53" s="3">
        <v>34.84</v>
      </c>
      <c r="N53" s="17">
        <f>49.37*1.8</f>
        <v>88.866</v>
      </c>
      <c r="O53" s="8">
        <f t="shared" si="49"/>
        <v>41.28</v>
      </c>
      <c r="P53" s="7">
        <f t="shared" si="93"/>
        <v>80.49600000000001</v>
      </c>
      <c r="Q53" s="1">
        <f t="shared" si="50"/>
        <v>41.28</v>
      </c>
      <c r="R53" s="4">
        <f t="shared" si="51"/>
        <v>45.40800000000001</v>
      </c>
      <c r="S53" s="1">
        <f t="shared" si="52"/>
        <v>41.28</v>
      </c>
      <c r="T53" s="1">
        <v>61.31</v>
      </c>
      <c r="U53" s="27">
        <f>57.67*3.14</f>
        <v>181.08380000000002</v>
      </c>
      <c r="V53" s="3">
        <f t="shared" si="53"/>
        <v>41.28</v>
      </c>
      <c r="W53" s="3">
        <f t="shared" si="54"/>
        <v>41.28</v>
      </c>
      <c r="X53" s="3">
        <f t="shared" si="55"/>
        <v>41.28</v>
      </c>
      <c r="Y53" s="3">
        <v>60.38</v>
      </c>
      <c r="Z53" s="3">
        <f t="shared" si="56"/>
        <v>39.216</v>
      </c>
      <c r="AA53" s="3">
        <f t="shared" si="57"/>
        <v>39.216</v>
      </c>
      <c r="AB53" s="3">
        <f t="shared" si="58"/>
        <v>41.28</v>
      </c>
      <c r="AC53" s="4">
        <f t="shared" si="59"/>
        <v>43.344</v>
      </c>
      <c r="AD53" s="3">
        <f t="shared" si="60"/>
        <v>41.28</v>
      </c>
      <c r="AE53" s="3">
        <f t="shared" si="61"/>
        <v>41.28</v>
      </c>
      <c r="AF53" s="3">
        <f t="shared" si="62"/>
        <v>37.9776</v>
      </c>
      <c r="AG53" s="4">
        <f t="shared" si="63"/>
        <v>86.688</v>
      </c>
      <c r="AH53" s="8">
        <f t="shared" si="94"/>
        <v>41.28</v>
      </c>
      <c r="AI53" s="8">
        <f t="shared" si="85"/>
        <v>41.28</v>
      </c>
      <c r="AJ53" s="4">
        <f t="shared" si="64"/>
        <v>56.140800000000006</v>
      </c>
      <c r="AK53" s="1">
        <f t="shared" si="65"/>
        <v>41.28</v>
      </c>
      <c r="AL53" s="1">
        <f t="shared" si="66"/>
        <v>41.28</v>
      </c>
      <c r="AM53" s="2">
        <f t="shared" si="67"/>
        <v>41.28</v>
      </c>
      <c r="AN53" s="2">
        <f t="shared" si="68"/>
        <v>41.28</v>
      </c>
      <c r="AO53" s="3">
        <f t="shared" si="69"/>
        <v>34.84</v>
      </c>
      <c r="AP53" s="3">
        <f t="shared" si="95"/>
        <v>41.28</v>
      </c>
      <c r="AQ53" s="7">
        <f t="shared" si="70"/>
        <v>61.92</v>
      </c>
      <c r="AR53" s="1">
        <f t="shared" si="86"/>
        <v>87.10000000000001</v>
      </c>
      <c r="AS53" s="1">
        <f t="shared" si="71"/>
        <v>41.28</v>
      </c>
      <c r="AT53" s="3">
        <f t="shared" si="72"/>
        <v>49.536</v>
      </c>
      <c r="AU53" s="3">
        <f t="shared" si="96"/>
        <v>38.324000000000005</v>
      </c>
      <c r="AV53" s="1">
        <f t="shared" si="73"/>
        <v>41.28</v>
      </c>
      <c r="AW53" s="4">
        <f t="shared" si="74"/>
        <v>39.216</v>
      </c>
      <c r="AX53" s="3" t="str">
        <f t="shared" si="75"/>
        <v>36.33 Per Unit</v>
      </c>
      <c r="AY53" s="3">
        <f t="shared" si="76"/>
        <v>41.28</v>
      </c>
      <c r="AZ53" s="1">
        <f t="shared" si="87"/>
        <v>41.28</v>
      </c>
      <c r="BA53" s="3">
        <f t="shared" si="88"/>
        <v>41.28</v>
      </c>
      <c r="BB53" s="3">
        <f t="shared" si="89"/>
        <v>41.28</v>
      </c>
      <c r="BC53" s="3">
        <f t="shared" si="90"/>
        <v>45.40800000000001</v>
      </c>
      <c r="BD53" s="3">
        <f t="shared" si="91"/>
        <v>37.152</v>
      </c>
      <c r="BE53" s="3">
        <f t="shared" si="77"/>
        <v>105.264</v>
      </c>
      <c r="BF53" s="1">
        <f t="shared" si="78"/>
        <v>41.28</v>
      </c>
      <c r="BG53" s="8" t="str">
        <f t="shared" si="79"/>
        <v>39.22 Per Unit</v>
      </c>
      <c r="BH53" s="4">
        <f t="shared" si="80"/>
        <v>49.536</v>
      </c>
      <c r="BI53" s="1">
        <f t="shared" si="81"/>
        <v>41.28</v>
      </c>
      <c r="BJ53" s="3">
        <f t="shared" si="82"/>
        <v>39.216</v>
      </c>
      <c r="BK53" s="1">
        <f t="shared" si="83"/>
        <v>41.28</v>
      </c>
      <c r="BL53" s="3">
        <v>37.152</v>
      </c>
      <c r="BM53" s="8">
        <f t="shared" si="84"/>
        <v>41.28</v>
      </c>
      <c r="BN53" s="3">
        <f>MIN(N53:BM53:BM53)</f>
        <v>34.84</v>
      </c>
      <c r="BO53" s="3">
        <f t="shared" si="92"/>
        <v>181.08380000000002</v>
      </c>
    </row>
    <row r="54" spans="1:67" ht="19.5" customHeight="1">
      <c r="A54" s="10">
        <f t="shared" si="44"/>
        <v>53</v>
      </c>
      <c r="B54" s="23">
        <v>86480</v>
      </c>
      <c r="C54" s="6">
        <v>3028648000</v>
      </c>
      <c r="D54" s="29" t="s">
        <v>41</v>
      </c>
      <c r="E54" s="11" t="s">
        <v>371</v>
      </c>
      <c r="F54" s="45">
        <v>185.94</v>
      </c>
      <c r="G54" s="23">
        <v>302</v>
      </c>
      <c r="H54" s="48">
        <v>0</v>
      </c>
      <c r="I54" s="6">
        <v>0</v>
      </c>
      <c r="J54" s="8">
        <f t="shared" si="48"/>
        <v>80.574</v>
      </c>
      <c r="K54" s="24" t="s">
        <v>386</v>
      </c>
      <c r="L54" s="3">
        <v>61.98</v>
      </c>
      <c r="M54" s="3">
        <v>55.04</v>
      </c>
      <c r="N54" s="17">
        <f>74.14*1.8</f>
        <v>133.452</v>
      </c>
      <c r="O54" s="8">
        <f t="shared" si="49"/>
        <v>61.98</v>
      </c>
      <c r="P54" s="7">
        <f t="shared" si="93"/>
        <v>120.861</v>
      </c>
      <c r="Q54" s="1">
        <f t="shared" si="50"/>
        <v>61.98</v>
      </c>
      <c r="R54" s="4">
        <f t="shared" si="51"/>
        <v>68.178</v>
      </c>
      <c r="S54" s="1">
        <f t="shared" si="52"/>
        <v>61.98</v>
      </c>
      <c r="T54" s="1">
        <v>90.05</v>
      </c>
      <c r="U54" s="27">
        <f>86.59*3.14</f>
        <v>271.8926</v>
      </c>
      <c r="V54" s="3">
        <f t="shared" si="53"/>
        <v>61.98</v>
      </c>
      <c r="W54" s="3">
        <f t="shared" si="54"/>
        <v>61.98</v>
      </c>
      <c r="X54" s="3">
        <f t="shared" si="55"/>
        <v>61.98</v>
      </c>
      <c r="Y54" s="3">
        <v>90.66</v>
      </c>
      <c r="Z54" s="3">
        <f t="shared" si="56"/>
        <v>58.88099999999999</v>
      </c>
      <c r="AA54" s="3">
        <f t="shared" si="57"/>
        <v>58.88099999999999</v>
      </c>
      <c r="AB54" s="3">
        <f t="shared" si="58"/>
        <v>61.98</v>
      </c>
      <c r="AC54" s="4">
        <f t="shared" si="59"/>
        <v>65.079</v>
      </c>
      <c r="AD54" s="3">
        <f t="shared" si="60"/>
        <v>61.98</v>
      </c>
      <c r="AE54" s="3">
        <f t="shared" si="61"/>
        <v>61.98</v>
      </c>
      <c r="AF54" s="3">
        <f t="shared" si="62"/>
        <v>57.0216</v>
      </c>
      <c r="AG54" s="4">
        <f t="shared" si="63"/>
        <v>130.158</v>
      </c>
      <c r="AH54" s="8">
        <f t="shared" si="94"/>
        <v>61.98</v>
      </c>
      <c r="AI54" s="8">
        <f t="shared" si="85"/>
        <v>61.98</v>
      </c>
      <c r="AJ54" s="4">
        <f t="shared" si="64"/>
        <v>84.2928</v>
      </c>
      <c r="AK54" s="1">
        <f t="shared" si="65"/>
        <v>61.98</v>
      </c>
      <c r="AL54" s="1">
        <f t="shared" si="66"/>
        <v>61.98</v>
      </c>
      <c r="AM54" s="2">
        <f t="shared" si="67"/>
        <v>61.98</v>
      </c>
      <c r="AN54" s="2">
        <f t="shared" si="68"/>
        <v>61.98</v>
      </c>
      <c r="AO54" s="3">
        <f t="shared" si="69"/>
        <v>55.04</v>
      </c>
      <c r="AP54" s="3">
        <f t="shared" si="95"/>
        <v>61.98</v>
      </c>
      <c r="AQ54" s="7">
        <f t="shared" si="70"/>
        <v>92.97</v>
      </c>
      <c r="AR54" s="1">
        <f t="shared" si="86"/>
        <v>137.6</v>
      </c>
      <c r="AS54" s="1">
        <f t="shared" si="71"/>
        <v>61.98</v>
      </c>
      <c r="AT54" s="3">
        <f t="shared" si="72"/>
        <v>74.376</v>
      </c>
      <c r="AU54" s="3">
        <f t="shared" si="96"/>
        <v>60.544000000000004</v>
      </c>
      <c r="AV54" s="1">
        <f t="shared" si="73"/>
        <v>61.98</v>
      </c>
      <c r="AW54" s="4">
        <f t="shared" si="74"/>
        <v>58.88099999999999</v>
      </c>
      <c r="AX54" s="3" t="str">
        <f t="shared" si="75"/>
        <v>54.54 Per Unit</v>
      </c>
      <c r="AY54" s="3">
        <f t="shared" si="76"/>
        <v>61.98</v>
      </c>
      <c r="AZ54" s="1">
        <f t="shared" si="87"/>
        <v>61.98</v>
      </c>
      <c r="BA54" s="3">
        <f t="shared" si="88"/>
        <v>61.98</v>
      </c>
      <c r="BB54" s="3">
        <f t="shared" si="89"/>
        <v>61.98</v>
      </c>
      <c r="BC54" s="3">
        <f t="shared" si="90"/>
        <v>68.178</v>
      </c>
      <c r="BD54" s="3">
        <f t="shared" si="91"/>
        <v>55.782</v>
      </c>
      <c r="BE54" s="3">
        <f t="shared" si="77"/>
        <v>158.049</v>
      </c>
      <c r="BF54" s="1">
        <f t="shared" si="78"/>
        <v>61.98</v>
      </c>
      <c r="BG54" s="8" t="str">
        <f t="shared" si="79"/>
        <v>58.88 Per Unit</v>
      </c>
      <c r="BH54" s="4">
        <f t="shared" si="80"/>
        <v>74.37599999999999</v>
      </c>
      <c r="BI54" s="1">
        <f t="shared" si="81"/>
        <v>61.98</v>
      </c>
      <c r="BJ54" s="3">
        <f t="shared" si="82"/>
        <v>58.88099999999999</v>
      </c>
      <c r="BK54" s="1">
        <f t="shared" si="83"/>
        <v>61.98</v>
      </c>
      <c r="BL54" s="3">
        <v>55.782</v>
      </c>
      <c r="BM54" s="8">
        <f t="shared" si="84"/>
        <v>61.98</v>
      </c>
      <c r="BN54" s="3">
        <f>MIN(N54:BM54:BM54)</f>
        <v>55.04</v>
      </c>
      <c r="BO54" s="3">
        <f t="shared" si="92"/>
        <v>271.8926</v>
      </c>
    </row>
    <row r="55" spans="1:67" ht="19.5" customHeight="1">
      <c r="A55" s="10">
        <f t="shared" si="44"/>
        <v>54</v>
      </c>
      <c r="B55" s="23">
        <v>87077</v>
      </c>
      <c r="C55" s="6">
        <v>3068707700</v>
      </c>
      <c r="D55" s="30" t="s">
        <v>346</v>
      </c>
      <c r="E55" s="11" t="s">
        <v>371</v>
      </c>
      <c r="F55" s="45">
        <v>24.24</v>
      </c>
      <c r="G55" s="23">
        <v>306</v>
      </c>
      <c r="H55" s="48">
        <v>0</v>
      </c>
      <c r="I55" s="6">
        <v>0</v>
      </c>
      <c r="J55" s="8">
        <f t="shared" si="48"/>
        <v>10.504000000000001</v>
      </c>
      <c r="K55" s="24" t="s">
        <v>386</v>
      </c>
      <c r="L55" s="3">
        <v>8.08</v>
      </c>
      <c r="M55" s="3">
        <v>7.08</v>
      </c>
      <c r="N55" s="17">
        <f>9.66*1.8</f>
        <v>17.388</v>
      </c>
      <c r="O55" s="8">
        <f t="shared" si="49"/>
        <v>8.08</v>
      </c>
      <c r="P55" s="7">
        <f t="shared" si="93"/>
        <v>15.756</v>
      </c>
      <c r="Q55" s="1">
        <f t="shared" si="50"/>
        <v>8.08</v>
      </c>
      <c r="R55" s="4">
        <f t="shared" si="51"/>
        <v>8.888000000000002</v>
      </c>
      <c r="S55" s="1">
        <f t="shared" si="52"/>
        <v>8.08</v>
      </c>
      <c r="T55" s="1">
        <v>11.99</v>
      </c>
      <c r="U55" s="27">
        <f>11.29*3.14</f>
        <v>35.4506</v>
      </c>
      <c r="V55" s="3">
        <f t="shared" si="53"/>
        <v>8.08</v>
      </c>
      <c r="W55" s="3">
        <f t="shared" si="54"/>
        <v>8.08</v>
      </c>
      <c r="X55" s="3">
        <f t="shared" si="55"/>
        <v>8.08</v>
      </c>
      <c r="Y55" s="3">
        <v>11.82</v>
      </c>
      <c r="Z55" s="3">
        <f t="shared" si="56"/>
        <v>7.675999999999999</v>
      </c>
      <c r="AA55" s="3">
        <f t="shared" si="57"/>
        <v>7.675999999999999</v>
      </c>
      <c r="AB55" s="3">
        <f t="shared" si="58"/>
        <v>8.08</v>
      </c>
      <c r="AC55" s="4">
        <f t="shared" si="59"/>
        <v>8.484</v>
      </c>
      <c r="AD55" s="3">
        <f t="shared" si="60"/>
        <v>8.08</v>
      </c>
      <c r="AE55" s="3">
        <f t="shared" si="61"/>
        <v>8.08</v>
      </c>
      <c r="AF55" s="3">
        <f t="shared" si="62"/>
        <v>7.4336</v>
      </c>
      <c r="AG55" s="4">
        <f t="shared" si="63"/>
        <v>16.967999999999996</v>
      </c>
      <c r="AH55" s="8">
        <f t="shared" si="94"/>
        <v>8.08</v>
      </c>
      <c r="AI55" s="8">
        <f t="shared" si="85"/>
        <v>8.08</v>
      </c>
      <c r="AJ55" s="4">
        <f t="shared" si="64"/>
        <v>10.988800000000001</v>
      </c>
      <c r="AK55" s="1">
        <f t="shared" si="65"/>
        <v>8.08</v>
      </c>
      <c r="AL55" s="1">
        <f t="shared" si="66"/>
        <v>8.08</v>
      </c>
      <c r="AM55" s="2">
        <f t="shared" si="67"/>
        <v>8.08</v>
      </c>
      <c r="AN55" s="2">
        <f t="shared" si="68"/>
        <v>8.08</v>
      </c>
      <c r="AO55" s="3">
        <f t="shared" si="69"/>
        <v>7.08</v>
      </c>
      <c r="AP55" s="3">
        <f t="shared" si="95"/>
        <v>8.08</v>
      </c>
      <c r="AQ55" s="7">
        <f t="shared" si="70"/>
        <v>12.12</v>
      </c>
      <c r="AR55" s="1">
        <f t="shared" si="86"/>
        <v>17.7</v>
      </c>
      <c r="AS55" s="1">
        <f t="shared" si="71"/>
        <v>8.08</v>
      </c>
      <c r="AT55" s="3">
        <f t="shared" si="72"/>
        <v>9.696</v>
      </c>
      <c r="AU55" s="3">
        <f t="shared" si="96"/>
        <v>7.788000000000001</v>
      </c>
      <c r="AV55" s="1">
        <f t="shared" si="73"/>
        <v>8.08</v>
      </c>
      <c r="AW55" s="4">
        <f t="shared" si="74"/>
        <v>7.675999999999999</v>
      </c>
      <c r="AX55" s="3" t="str">
        <f t="shared" si="75"/>
        <v>7.11 Per Unit</v>
      </c>
      <c r="AY55" s="3">
        <f t="shared" si="76"/>
        <v>8.08</v>
      </c>
      <c r="AZ55" s="1">
        <f t="shared" si="87"/>
        <v>8.08</v>
      </c>
      <c r="BA55" s="3">
        <f t="shared" si="88"/>
        <v>8.08</v>
      </c>
      <c r="BB55" s="3">
        <f t="shared" si="89"/>
        <v>8.08</v>
      </c>
      <c r="BC55" s="3">
        <f t="shared" si="90"/>
        <v>8.888000000000002</v>
      </c>
      <c r="BD55" s="3">
        <f t="shared" si="91"/>
        <v>7.272</v>
      </c>
      <c r="BE55" s="3">
        <f t="shared" si="77"/>
        <v>20.604</v>
      </c>
      <c r="BF55" s="1">
        <f t="shared" si="78"/>
        <v>8.08</v>
      </c>
      <c r="BG55" s="8" t="str">
        <f t="shared" si="79"/>
        <v>7.68 Per Unit</v>
      </c>
      <c r="BH55" s="4">
        <f t="shared" si="80"/>
        <v>9.696</v>
      </c>
      <c r="BI55" s="1">
        <f t="shared" si="81"/>
        <v>8.08</v>
      </c>
      <c r="BJ55" s="3">
        <f t="shared" si="82"/>
        <v>7.675999999999999</v>
      </c>
      <c r="BK55" s="1">
        <f t="shared" si="83"/>
        <v>8.08</v>
      </c>
      <c r="BL55" s="3">
        <v>7.272</v>
      </c>
      <c r="BM55" s="8">
        <f t="shared" si="84"/>
        <v>8.08</v>
      </c>
      <c r="BN55" s="3">
        <f>MIN(N55:BM55:BM55)</f>
        <v>7.08</v>
      </c>
      <c r="BO55" s="3">
        <f t="shared" si="92"/>
        <v>35.4506</v>
      </c>
    </row>
    <row r="56" spans="1:67" ht="19.5" customHeight="1">
      <c r="A56" s="10">
        <f t="shared" si="44"/>
        <v>55</v>
      </c>
      <c r="B56" s="23">
        <v>85730</v>
      </c>
      <c r="C56" s="6">
        <v>3058573000</v>
      </c>
      <c r="D56" s="29" t="s">
        <v>347</v>
      </c>
      <c r="E56" s="11" t="s">
        <v>371</v>
      </c>
      <c r="F56" s="45">
        <v>18.03</v>
      </c>
      <c r="G56" s="23">
        <v>305</v>
      </c>
      <c r="H56" s="48">
        <v>0</v>
      </c>
      <c r="I56" s="6">
        <v>0</v>
      </c>
      <c r="J56" s="8">
        <f t="shared" si="48"/>
        <v>7.813</v>
      </c>
      <c r="K56" s="24" t="s">
        <v>386</v>
      </c>
      <c r="L56" s="3">
        <v>6.01</v>
      </c>
      <c r="M56" s="3">
        <v>5.34</v>
      </c>
      <c r="N56" s="17">
        <f>7.18*1.8</f>
        <v>12.924</v>
      </c>
      <c r="O56" s="8">
        <f t="shared" si="49"/>
        <v>6.01</v>
      </c>
      <c r="P56" s="7">
        <f t="shared" si="93"/>
        <v>11.719500000000002</v>
      </c>
      <c r="Q56" s="1">
        <f t="shared" si="50"/>
        <v>6.01</v>
      </c>
      <c r="R56" s="4">
        <f t="shared" si="51"/>
        <v>6.611000000000001</v>
      </c>
      <c r="S56" s="1">
        <f t="shared" si="52"/>
        <v>6.01</v>
      </c>
      <c r="T56" s="1">
        <v>8.92</v>
      </c>
      <c r="U56" s="27">
        <f>8.38*3.14</f>
        <v>26.313200000000002</v>
      </c>
      <c r="V56" s="3">
        <f t="shared" si="53"/>
        <v>6.01</v>
      </c>
      <c r="W56" s="3">
        <f t="shared" si="54"/>
        <v>6.01</v>
      </c>
      <c r="X56" s="3">
        <f t="shared" si="55"/>
        <v>6.01</v>
      </c>
      <c r="Y56" s="3">
        <v>8.81</v>
      </c>
      <c r="Z56" s="3">
        <f t="shared" si="56"/>
        <v>5.709499999999999</v>
      </c>
      <c r="AA56" s="3">
        <f t="shared" si="57"/>
        <v>5.709499999999999</v>
      </c>
      <c r="AB56" s="3">
        <f t="shared" si="58"/>
        <v>6.01</v>
      </c>
      <c r="AC56" s="4">
        <f t="shared" si="59"/>
        <v>6.3105</v>
      </c>
      <c r="AD56" s="3">
        <f t="shared" si="60"/>
        <v>6.01</v>
      </c>
      <c r="AE56" s="3">
        <f t="shared" si="61"/>
        <v>6.01</v>
      </c>
      <c r="AF56" s="3">
        <f t="shared" si="62"/>
        <v>5.5292</v>
      </c>
      <c r="AG56" s="4">
        <f t="shared" si="63"/>
        <v>12.621</v>
      </c>
      <c r="AH56" s="8">
        <f t="shared" si="94"/>
        <v>6.01</v>
      </c>
      <c r="AI56" s="8">
        <f t="shared" si="85"/>
        <v>6.01</v>
      </c>
      <c r="AJ56" s="4">
        <f t="shared" si="64"/>
        <v>8.1736</v>
      </c>
      <c r="AK56" s="1">
        <f t="shared" si="65"/>
        <v>6.01</v>
      </c>
      <c r="AL56" s="1">
        <f t="shared" si="66"/>
        <v>6.01</v>
      </c>
      <c r="AM56" s="2">
        <f t="shared" si="67"/>
        <v>6.01</v>
      </c>
      <c r="AN56" s="2">
        <f t="shared" si="68"/>
        <v>6.01</v>
      </c>
      <c r="AO56" s="3">
        <f t="shared" si="69"/>
        <v>5.34</v>
      </c>
      <c r="AP56" s="3">
        <f t="shared" si="95"/>
        <v>6.01</v>
      </c>
      <c r="AQ56" s="7">
        <f t="shared" si="70"/>
        <v>9.015</v>
      </c>
      <c r="AR56" s="1">
        <f t="shared" si="86"/>
        <v>13.35</v>
      </c>
      <c r="AS56" s="1">
        <f t="shared" si="71"/>
        <v>6.01</v>
      </c>
      <c r="AT56" s="3">
        <f t="shared" si="72"/>
        <v>7.212000000000001</v>
      </c>
      <c r="AU56" s="3">
        <f t="shared" si="96"/>
        <v>5.8740000000000006</v>
      </c>
      <c r="AV56" s="1">
        <f t="shared" si="73"/>
        <v>6.01</v>
      </c>
      <c r="AW56" s="4">
        <f t="shared" si="74"/>
        <v>5.709499999999999</v>
      </c>
      <c r="AX56" s="3" t="str">
        <f t="shared" si="75"/>
        <v>5.29 Per Unit</v>
      </c>
      <c r="AY56" s="3">
        <f t="shared" si="76"/>
        <v>6.01</v>
      </c>
      <c r="AZ56" s="1">
        <f t="shared" si="87"/>
        <v>6.01</v>
      </c>
      <c r="BA56" s="3">
        <f t="shared" si="88"/>
        <v>6.01</v>
      </c>
      <c r="BB56" s="3">
        <f t="shared" si="89"/>
        <v>6.01</v>
      </c>
      <c r="BC56" s="3">
        <f t="shared" si="90"/>
        <v>6.611000000000001</v>
      </c>
      <c r="BD56" s="3">
        <f t="shared" si="91"/>
        <v>5.409</v>
      </c>
      <c r="BE56" s="3">
        <f t="shared" si="77"/>
        <v>15.3255</v>
      </c>
      <c r="BF56" s="1">
        <f t="shared" si="78"/>
        <v>6.01</v>
      </c>
      <c r="BG56" s="8" t="str">
        <f t="shared" si="79"/>
        <v>5.71 Per Unit</v>
      </c>
      <c r="BH56" s="4">
        <f t="shared" si="80"/>
        <v>7.212</v>
      </c>
      <c r="BI56" s="1">
        <f t="shared" si="81"/>
        <v>6.01</v>
      </c>
      <c r="BJ56" s="3">
        <f t="shared" si="82"/>
        <v>5.709499999999999</v>
      </c>
      <c r="BK56" s="1">
        <f t="shared" si="83"/>
        <v>6.01</v>
      </c>
      <c r="BL56" s="3">
        <v>5.409</v>
      </c>
      <c r="BM56" s="8">
        <f t="shared" si="84"/>
        <v>6.01</v>
      </c>
      <c r="BN56" s="3">
        <f>MIN(N56:BM56:BM56)</f>
        <v>5.34</v>
      </c>
      <c r="BO56" s="3">
        <f t="shared" si="92"/>
        <v>26.313200000000002</v>
      </c>
    </row>
    <row r="57" spans="1:67" ht="19.5" customHeight="1">
      <c r="A57" s="10">
        <f t="shared" si="44"/>
        <v>56</v>
      </c>
      <c r="B57" s="23">
        <v>86140</v>
      </c>
      <c r="C57" s="6">
        <v>3028614000</v>
      </c>
      <c r="D57" s="29" t="s">
        <v>6</v>
      </c>
      <c r="E57" s="11" t="s">
        <v>371</v>
      </c>
      <c r="F57" s="45">
        <v>15.54</v>
      </c>
      <c r="G57" s="23">
        <v>302</v>
      </c>
      <c r="H57" s="48">
        <v>0</v>
      </c>
      <c r="I57" s="6">
        <v>0</v>
      </c>
      <c r="J57" s="8">
        <f t="shared" si="48"/>
        <v>6.734</v>
      </c>
      <c r="K57" s="24" t="s">
        <v>386</v>
      </c>
      <c r="L57" s="3">
        <v>5.18</v>
      </c>
      <c r="M57" s="3">
        <v>4.6</v>
      </c>
      <c r="N57" s="17">
        <f>6.19*1.8</f>
        <v>11.142000000000001</v>
      </c>
      <c r="O57" s="8">
        <f t="shared" si="49"/>
        <v>5.18</v>
      </c>
      <c r="P57" s="7">
        <f t="shared" si="93"/>
        <v>10.100999999999999</v>
      </c>
      <c r="Q57" s="1">
        <f t="shared" si="50"/>
        <v>5.18</v>
      </c>
      <c r="R57" s="4">
        <f t="shared" si="51"/>
        <v>5.698</v>
      </c>
      <c r="S57" s="1">
        <f t="shared" si="52"/>
        <v>5.18</v>
      </c>
      <c r="T57" s="1">
        <v>7.68</v>
      </c>
      <c r="U57" s="27">
        <f>7.23*3.14</f>
        <v>22.7022</v>
      </c>
      <c r="V57" s="3">
        <f t="shared" si="53"/>
        <v>5.18</v>
      </c>
      <c r="W57" s="3">
        <f t="shared" si="54"/>
        <v>5.18</v>
      </c>
      <c r="X57" s="3">
        <f t="shared" si="55"/>
        <v>5.18</v>
      </c>
      <c r="Y57" s="3">
        <v>7.59</v>
      </c>
      <c r="Z57" s="3">
        <f t="shared" si="56"/>
        <v>4.920999999999999</v>
      </c>
      <c r="AA57" s="3">
        <f t="shared" si="57"/>
        <v>4.920999999999999</v>
      </c>
      <c r="AB57" s="3">
        <f t="shared" si="58"/>
        <v>5.18</v>
      </c>
      <c r="AC57" s="4">
        <f t="shared" si="59"/>
        <v>5.439</v>
      </c>
      <c r="AD57" s="3">
        <f t="shared" si="60"/>
        <v>5.18</v>
      </c>
      <c r="AE57" s="3">
        <f t="shared" si="61"/>
        <v>5.18</v>
      </c>
      <c r="AF57" s="3">
        <f t="shared" si="62"/>
        <v>4.7656</v>
      </c>
      <c r="AG57" s="4">
        <f t="shared" si="63"/>
        <v>10.877999999999998</v>
      </c>
      <c r="AH57" s="8">
        <f t="shared" si="94"/>
        <v>5.18</v>
      </c>
      <c r="AI57" s="8">
        <f t="shared" si="85"/>
        <v>5.18</v>
      </c>
      <c r="AJ57" s="4">
        <f t="shared" si="64"/>
        <v>7.0448</v>
      </c>
      <c r="AK57" s="1">
        <f t="shared" si="65"/>
        <v>5.18</v>
      </c>
      <c r="AL57" s="1">
        <f t="shared" si="66"/>
        <v>5.18</v>
      </c>
      <c r="AM57" s="2">
        <f t="shared" si="67"/>
        <v>5.18</v>
      </c>
      <c r="AN57" s="2">
        <f t="shared" si="68"/>
        <v>5.18</v>
      </c>
      <c r="AO57" s="3">
        <f t="shared" si="69"/>
        <v>4.6</v>
      </c>
      <c r="AP57" s="3">
        <f t="shared" si="95"/>
        <v>5.18</v>
      </c>
      <c r="AQ57" s="7">
        <f t="shared" si="70"/>
        <v>7.77</v>
      </c>
      <c r="AR57" s="1">
        <f t="shared" si="86"/>
        <v>11.5</v>
      </c>
      <c r="AS57" s="1">
        <f t="shared" si="71"/>
        <v>5.18</v>
      </c>
      <c r="AT57" s="3">
        <f t="shared" si="72"/>
        <v>6.216</v>
      </c>
      <c r="AU57" s="3">
        <f t="shared" si="96"/>
        <v>5.06</v>
      </c>
      <c r="AV57" s="1">
        <f t="shared" si="73"/>
        <v>5.18</v>
      </c>
      <c r="AW57" s="4">
        <f t="shared" si="74"/>
        <v>4.920999999999999</v>
      </c>
      <c r="AX57" s="3" t="str">
        <f t="shared" si="75"/>
        <v>4.56 Per Unit</v>
      </c>
      <c r="AY57" s="3">
        <f t="shared" si="76"/>
        <v>5.18</v>
      </c>
      <c r="AZ57" s="1">
        <f t="shared" si="87"/>
        <v>5.18</v>
      </c>
      <c r="BA57" s="3">
        <f t="shared" si="88"/>
        <v>5.18</v>
      </c>
      <c r="BB57" s="3">
        <f t="shared" si="89"/>
        <v>5.18</v>
      </c>
      <c r="BC57" s="3">
        <f t="shared" si="90"/>
        <v>5.698</v>
      </c>
      <c r="BD57" s="3">
        <f t="shared" si="91"/>
        <v>4.662</v>
      </c>
      <c r="BE57" s="3">
        <f t="shared" si="77"/>
        <v>13.209</v>
      </c>
      <c r="BF57" s="1">
        <f t="shared" si="78"/>
        <v>5.18</v>
      </c>
      <c r="BG57" s="8" t="str">
        <f t="shared" si="79"/>
        <v>4.92 Per Unit</v>
      </c>
      <c r="BH57" s="4">
        <f t="shared" si="80"/>
        <v>6.215999999999999</v>
      </c>
      <c r="BI57" s="1">
        <f t="shared" si="81"/>
        <v>5.18</v>
      </c>
      <c r="BJ57" s="3">
        <f t="shared" si="82"/>
        <v>4.920999999999999</v>
      </c>
      <c r="BK57" s="1">
        <f t="shared" si="83"/>
        <v>5.18</v>
      </c>
      <c r="BL57" s="3">
        <v>4.662</v>
      </c>
      <c r="BM57" s="8">
        <f t="shared" si="84"/>
        <v>5.18</v>
      </c>
      <c r="BN57" s="3">
        <f>MIN(N57:BM57:BM57)</f>
        <v>4.6</v>
      </c>
      <c r="BO57" s="3">
        <f t="shared" si="92"/>
        <v>22.7022</v>
      </c>
    </row>
    <row r="58" spans="1:67" ht="19.5" customHeight="1">
      <c r="A58" s="10">
        <f t="shared" si="44"/>
        <v>57</v>
      </c>
      <c r="B58" s="23">
        <v>84146</v>
      </c>
      <c r="C58" s="6">
        <v>3018414600</v>
      </c>
      <c r="D58" s="30" t="s">
        <v>192</v>
      </c>
      <c r="E58" s="11" t="s">
        <v>371</v>
      </c>
      <c r="F58" s="45">
        <v>58.14</v>
      </c>
      <c r="G58" s="23">
        <v>301</v>
      </c>
      <c r="H58" s="48">
        <v>0</v>
      </c>
      <c r="I58" s="6">
        <v>0</v>
      </c>
      <c r="J58" s="8">
        <f t="shared" si="48"/>
        <v>25.194</v>
      </c>
      <c r="K58" s="24" t="s">
        <v>386</v>
      </c>
      <c r="L58" s="3">
        <v>19.38</v>
      </c>
      <c r="M58" s="3">
        <v>17.11</v>
      </c>
      <c r="N58" s="17">
        <f>23.18*1.8</f>
        <v>41.724000000000004</v>
      </c>
      <c r="O58" s="8">
        <f t="shared" si="49"/>
        <v>19.38</v>
      </c>
      <c r="P58" s="7">
        <f t="shared" si="93"/>
        <v>37.791000000000004</v>
      </c>
      <c r="Q58" s="1">
        <f t="shared" si="50"/>
        <v>19.38</v>
      </c>
      <c r="R58" s="4">
        <f t="shared" si="51"/>
        <v>21.318</v>
      </c>
      <c r="S58" s="1">
        <f t="shared" si="52"/>
        <v>19.38</v>
      </c>
      <c r="T58" s="1">
        <v>28.78</v>
      </c>
      <c r="U58" s="27">
        <f>27.08*3.14</f>
        <v>85.0312</v>
      </c>
      <c r="V58" s="3">
        <f t="shared" si="53"/>
        <v>19.38</v>
      </c>
      <c r="W58" s="3">
        <f t="shared" si="54"/>
        <v>19.38</v>
      </c>
      <c r="X58" s="3">
        <f t="shared" si="55"/>
        <v>19.38</v>
      </c>
      <c r="Y58" s="3">
        <v>28.35</v>
      </c>
      <c r="Z58" s="3">
        <f t="shared" si="56"/>
        <v>18.410999999999998</v>
      </c>
      <c r="AA58" s="3">
        <f t="shared" si="57"/>
        <v>18.410999999999998</v>
      </c>
      <c r="AB58" s="3">
        <f t="shared" si="58"/>
        <v>19.38</v>
      </c>
      <c r="AC58" s="4">
        <f t="shared" si="59"/>
        <v>20.349</v>
      </c>
      <c r="AD58" s="3">
        <f t="shared" si="60"/>
        <v>19.38</v>
      </c>
      <c r="AE58" s="3">
        <f t="shared" si="61"/>
        <v>19.38</v>
      </c>
      <c r="AF58" s="3">
        <f t="shared" si="62"/>
        <v>17.8296</v>
      </c>
      <c r="AG58" s="4">
        <f t="shared" si="63"/>
        <v>40.698</v>
      </c>
      <c r="AH58" s="8">
        <f t="shared" si="94"/>
        <v>19.38</v>
      </c>
      <c r="AI58" s="8">
        <f t="shared" si="85"/>
        <v>19.38</v>
      </c>
      <c r="AJ58" s="4">
        <f t="shared" si="64"/>
        <v>26.3568</v>
      </c>
      <c r="AK58" s="1">
        <f t="shared" si="65"/>
        <v>19.38</v>
      </c>
      <c r="AL58" s="1">
        <f t="shared" si="66"/>
        <v>19.38</v>
      </c>
      <c r="AM58" s="2">
        <f t="shared" si="67"/>
        <v>19.38</v>
      </c>
      <c r="AN58" s="2">
        <f t="shared" si="68"/>
        <v>19.38</v>
      </c>
      <c r="AO58" s="3">
        <f t="shared" si="69"/>
        <v>17.11</v>
      </c>
      <c r="AP58" s="3">
        <f t="shared" si="95"/>
        <v>19.38</v>
      </c>
      <c r="AQ58" s="7">
        <f t="shared" si="70"/>
        <v>29.07</v>
      </c>
      <c r="AR58" s="1">
        <f t="shared" si="86"/>
        <v>42.775</v>
      </c>
      <c r="AS58" s="1">
        <f t="shared" si="71"/>
        <v>19.38</v>
      </c>
      <c r="AT58" s="3">
        <f t="shared" si="72"/>
        <v>23.256</v>
      </c>
      <c r="AU58" s="3">
        <f t="shared" si="96"/>
        <v>18.821</v>
      </c>
      <c r="AV58" s="1">
        <f t="shared" si="73"/>
        <v>19.38</v>
      </c>
      <c r="AW58" s="4">
        <f t="shared" si="74"/>
        <v>18.410999999999998</v>
      </c>
      <c r="AX58" s="3" t="str">
        <f t="shared" si="75"/>
        <v>17.05 Per Unit</v>
      </c>
      <c r="AY58" s="3">
        <f t="shared" si="76"/>
        <v>19.38</v>
      </c>
      <c r="AZ58" s="1">
        <f t="shared" si="87"/>
        <v>19.38</v>
      </c>
      <c r="BA58" s="3">
        <f t="shared" si="88"/>
        <v>19.38</v>
      </c>
      <c r="BB58" s="3">
        <f t="shared" si="89"/>
        <v>19.38</v>
      </c>
      <c r="BC58" s="3">
        <f t="shared" si="90"/>
        <v>21.318</v>
      </c>
      <c r="BD58" s="3">
        <f t="shared" si="91"/>
        <v>17.442</v>
      </c>
      <c r="BE58" s="3">
        <f t="shared" si="77"/>
        <v>49.419</v>
      </c>
      <c r="BF58" s="1">
        <f t="shared" si="78"/>
        <v>19.38</v>
      </c>
      <c r="BG58" s="8" t="str">
        <f t="shared" si="79"/>
        <v>18.41 Per Unit</v>
      </c>
      <c r="BH58" s="4">
        <f t="shared" si="80"/>
        <v>23.255999999999997</v>
      </c>
      <c r="BI58" s="1">
        <f t="shared" si="81"/>
        <v>19.38</v>
      </c>
      <c r="BJ58" s="3">
        <f t="shared" si="82"/>
        <v>18.410999999999998</v>
      </c>
      <c r="BK58" s="1">
        <f t="shared" si="83"/>
        <v>19.38</v>
      </c>
      <c r="BL58" s="3">
        <v>17.442</v>
      </c>
      <c r="BM58" s="8">
        <f t="shared" si="84"/>
        <v>19.38</v>
      </c>
      <c r="BN58" s="3">
        <f>MIN(N58:BM58:BM58)</f>
        <v>17.11</v>
      </c>
      <c r="BO58" s="3">
        <f t="shared" si="92"/>
        <v>85.0312</v>
      </c>
    </row>
    <row r="59" spans="1:67" ht="19.5" customHeight="1">
      <c r="A59" s="10">
        <f t="shared" si="44"/>
        <v>58</v>
      </c>
      <c r="B59" s="23">
        <v>82565</v>
      </c>
      <c r="C59" s="6">
        <v>3018256500</v>
      </c>
      <c r="D59" s="29" t="s">
        <v>16</v>
      </c>
      <c r="E59" s="11" t="s">
        <v>371</v>
      </c>
      <c r="F59" s="45">
        <v>15.36</v>
      </c>
      <c r="G59" s="23">
        <v>301</v>
      </c>
      <c r="H59" s="48">
        <v>0</v>
      </c>
      <c r="I59" s="6">
        <v>0</v>
      </c>
      <c r="J59" s="8">
        <f t="shared" si="48"/>
        <v>6.656000000000001</v>
      </c>
      <c r="K59" s="24" t="s">
        <v>386</v>
      </c>
      <c r="L59" s="3">
        <v>5.12</v>
      </c>
      <c r="M59" s="3">
        <v>4.31</v>
      </c>
      <c r="N59" s="17">
        <f>6.14*1.8</f>
        <v>11.052</v>
      </c>
      <c r="O59" s="8">
        <f t="shared" si="49"/>
        <v>5.12</v>
      </c>
      <c r="P59" s="7">
        <f t="shared" si="93"/>
        <v>9.984</v>
      </c>
      <c r="Q59" s="1">
        <f t="shared" si="50"/>
        <v>5.12</v>
      </c>
      <c r="R59" s="4">
        <f t="shared" si="51"/>
        <v>5.632000000000001</v>
      </c>
      <c r="S59" s="1">
        <f t="shared" si="52"/>
        <v>5.12</v>
      </c>
      <c r="T59" s="1">
        <v>7.6</v>
      </c>
      <c r="U59" s="27">
        <f>7.1599998474121*3.14</f>
        <v>22.482399520873994</v>
      </c>
      <c r="V59" s="3">
        <f t="shared" si="53"/>
        <v>5.12</v>
      </c>
      <c r="W59" s="3">
        <f t="shared" si="54"/>
        <v>5.12</v>
      </c>
      <c r="X59" s="3">
        <f t="shared" si="55"/>
        <v>5.12</v>
      </c>
      <c r="Y59" s="3">
        <v>7.5</v>
      </c>
      <c r="Z59" s="3">
        <f t="shared" si="56"/>
        <v>4.864</v>
      </c>
      <c r="AA59" s="3">
        <f t="shared" si="57"/>
        <v>4.864</v>
      </c>
      <c r="AB59" s="3">
        <f t="shared" si="58"/>
        <v>5.12</v>
      </c>
      <c r="AC59" s="4">
        <f t="shared" si="59"/>
        <v>5.376</v>
      </c>
      <c r="AD59" s="3">
        <f t="shared" si="60"/>
        <v>5.12</v>
      </c>
      <c r="AE59" s="3">
        <f t="shared" si="61"/>
        <v>5.12</v>
      </c>
      <c r="AF59" s="3">
        <f t="shared" si="62"/>
        <v>4.7104</v>
      </c>
      <c r="AG59" s="4">
        <f t="shared" si="63"/>
        <v>10.751999999999999</v>
      </c>
      <c r="AH59" s="8">
        <f t="shared" si="94"/>
        <v>5.12</v>
      </c>
      <c r="AI59" s="8">
        <f t="shared" si="85"/>
        <v>5.12</v>
      </c>
      <c r="AJ59" s="4">
        <f t="shared" si="64"/>
        <v>6.9632000000000005</v>
      </c>
      <c r="AK59" s="1">
        <f t="shared" si="65"/>
        <v>5.12</v>
      </c>
      <c r="AL59" s="1">
        <f t="shared" si="66"/>
        <v>5.12</v>
      </c>
      <c r="AM59" s="2">
        <f t="shared" si="67"/>
        <v>5.12</v>
      </c>
      <c r="AN59" s="2">
        <f t="shared" si="68"/>
        <v>5.12</v>
      </c>
      <c r="AO59" s="3">
        <f t="shared" si="69"/>
        <v>4.31</v>
      </c>
      <c r="AP59" s="3">
        <f t="shared" si="95"/>
        <v>5.12</v>
      </c>
      <c r="AQ59" s="7">
        <f t="shared" si="70"/>
        <v>7.68</v>
      </c>
      <c r="AR59" s="1">
        <f t="shared" si="86"/>
        <v>10.774999999999999</v>
      </c>
      <c r="AS59" s="1">
        <f t="shared" si="71"/>
        <v>5.12</v>
      </c>
      <c r="AT59" s="3">
        <f t="shared" si="72"/>
        <v>6.144</v>
      </c>
      <c r="AU59" s="3">
        <f t="shared" si="96"/>
        <v>4.741</v>
      </c>
      <c r="AV59" s="1">
        <f t="shared" si="73"/>
        <v>5.12</v>
      </c>
      <c r="AW59" s="4">
        <f t="shared" si="74"/>
        <v>4.864</v>
      </c>
      <c r="AX59" s="3" t="str">
        <f t="shared" si="75"/>
        <v>4.51 Per Unit</v>
      </c>
      <c r="AY59" s="3">
        <f t="shared" si="76"/>
        <v>5.12</v>
      </c>
      <c r="AZ59" s="1">
        <f t="shared" si="87"/>
        <v>5.12</v>
      </c>
      <c r="BA59" s="3">
        <f t="shared" si="88"/>
        <v>5.12</v>
      </c>
      <c r="BB59" s="3">
        <f t="shared" si="89"/>
        <v>5.12</v>
      </c>
      <c r="BC59" s="3">
        <f t="shared" si="90"/>
        <v>5.632000000000001</v>
      </c>
      <c r="BD59" s="3">
        <f t="shared" si="91"/>
        <v>4.6080000000000005</v>
      </c>
      <c r="BE59" s="3">
        <f t="shared" si="77"/>
        <v>13.056</v>
      </c>
      <c r="BF59" s="1">
        <f t="shared" si="78"/>
        <v>5.12</v>
      </c>
      <c r="BG59" s="8" t="str">
        <f t="shared" si="79"/>
        <v>4.86 Per Unit</v>
      </c>
      <c r="BH59" s="4">
        <f t="shared" si="80"/>
        <v>6.144</v>
      </c>
      <c r="BI59" s="1">
        <f t="shared" si="81"/>
        <v>5.12</v>
      </c>
      <c r="BJ59" s="3">
        <f t="shared" si="82"/>
        <v>4.864</v>
      </c>
      <c r="BK59" s="1">
        <f t="shared" si="83"/>
        <v>5.12</v>
      </c>
      <c r="BL59" s="3">
        <v>4.6080000000000005</v>
      </c>
      <c r="BM59" s="8">
        <f t="shared" si="84"/>
        <v>5.12</v>
      </c>
      <c r="BN59" s="3">
        <f>MIN(N59:BM59:BM59)</f>
        <v>4.31</v>
      </c>
      <c r="BO59" s="3">
        <f t="shared" si="92"/>
        <v>22.482399520873994</v>
      </c>
    </row>
    <row r="60" spans="1:67" ht="19.5" customHeight="1">
      <c r="A60" s="10">
        <f t="shared" si="44"/>
        <v>59</v>
      </c>
      <c r="B60" s="23">
        <v>83540</v>
      </c>
      <c r="C60" s="6">
        <v>3018354000</v>
      </c>
      <c r="D60" s="30" t="s">
        <v>348</v>
      </c>
      <c r="E60" s="11" t="s">
        <v>371</v>
      </c>
      <c r="F60" s="45">
        <v>19.41</v>
      </c>
      <c r="G60" s="23">
        <v>301</v>
      </c>
      <c r="H60" s="48">
        <v>0</v>
      </c>
      <c r="I60" s="6">
        <v>0</v>
      </c>
      <c r="J60" s="8">
        <f t="shared" si="48"/>
        <v>8.411</v>
      </c>
      <c r="K60" s="24" t="s">
        <v>386</v>
      </c>
      <c r="L60" s="3">
        <v>6.47</v>
      </c>
      <c r="M60" s="3">
        <v>5.72</v>
      </c>
      <c r="N60" s="17">
        <f>7.75*1.8</f>
        <v>13.950000000000001</v>
      </c>
      <c r="O60" s="8">
        <f t="shared" si="49"/>
        <v>6.47</v>
      </c>
      <c r="P60" s="7">
        <f t="shared" si="93"/>
        <v>12.6165</v>
      </c>
      <c r="Q60" s="1">
        <f t="shared" si="50"/>
        <v>6.47</v>
      </c>
      <c r="R60" s="4">
        <f t="shared" si="51"/>
        <v>7.117</v>
      </c>
      <c r="S60" s="1">
        <f t="shared" si="52"/>
        <v>6.47</v>
      </c>
      <c r="T60" s="1">
        <v>9.62</v>
      </c>
      <c r="U60" s="27">
        <f>9.05000019073486*3.14</f>
        <v>28.41700059890746</v>
      </c>
      <c r="V60" s="3">
        <f t="shared" si="53"/>
        <v>6.47</v>
      </c>
      <c r="W60" s="3">
        <f t="shared" si="54"/>
        <v>6.47</v>
      </c>
      <c r="X60" s="3">
        <f t="shared" si="55"/>
        <v>6.47</v>
      </c>
      <c r="Y60" s="3">
        <v>9.48</v>
      </c>
      <c r="Z60" s="3">
        <f t="shared" si="56"/>
        <v>6.1465</v>
      </c>
      <c r="AA60" s="3">
        <f t="shared" si="57"/>
        <v>6.1465</v>
      </c>
      <c r="AB60" s="3">
        <f t="shared" si="58"/>
        <v>6.47</v>
      </c>
      <c r="AC60" s="4">
        <f t="shared" si="59"/>
        <v>6.7935</v>
      </c>
      <c r="AD60" s="3">
        <f t="shared" si="60"/>
        <v>6.47</v>
      </c>
      <c r="AE60" s="3">
        <f t="shared" si="61"/>
        <v>6.47</v>
      </c>
      <c r="AF60" s="3">
        <f t="shared" si="62"/>
        <v>5.9524</v>
      </c>
      <c r="AG60" s="4">
        <f t="shared" si="63"/>
        <v>13.587</v>
      </c>
      <c r="AH60" s="8">
        <f t="shared" si="94"/>
        <v>6.47</v>
      </c>
      <c r="AI60" s="8">
        <f t="shared" si="85"/>
        <v>6.47</v>
      </c>
      <c r="AJ60" s="4">
        <f t="shared" si="64"/>
        <v>8.7992</v>
      </c>
      <c r="AK60" s="1">
        <f t="shared" si="65"/>
        <v>6.47</v>
      </c>
      <c r="AL60" s="1">
        <f t="shared" si="66"/>
        <v>6.47</v>
      </c>
      <c r="AM60" s="2">
        <f t="shared" si="67"/>
        <v>6.47</v>
      </c>
      <c r="AN60" s="2">
        <f t="shared" si="68"/>
        <v>6.47</v>
      </c>
      <c r="AO60" s="3">
        <f t="shared" si="69"/>
        <v>5.72</v>
      </c>
      <c r="AP60" s="3">
        <f t="shared" si="95"/>
        <v>6.47</v>
      </c>
      <c r="AQ60" s="7">
        <f t="shared" si="70"/>
        <v>9.705</v>
      </c>
      <c r="AR60" s="1">
        <f t="shared" si="86"/>
        <v>14.299999999999999</v>
      </c>
      <c r="AS60" s="1">
        <f t="shared" si="71"/>
        <v>6.47</v>
      </c>
      <c r="AT60" s="3">
        <f t="shared" si="72"/>
        <v>7.764</v>
      </c>
      <c r="AU60" s="3">
        <f t="shared" si="96"/>
        <v>6.292</v>
      </c>
      <c r="AV60" s="1">
        <f t="shared" si="73"/>
        <v>6.47</v>
      </c>
      <c r="AW60" s="4">
        <f t="shared" si="74"/>
        <v>6.1465</v>
      </c>
      <c r="AX60" s="3" t="str">
        <f t="shared" si="75"/>
        <v>5.69 Per Unit</v>
      </c>
      <c r="AY60" s="3">
        <f t="shared" si="76"/>
        <v>6.47</v>
      </c>
      <c r="AZ60" s="1">
        <f t="shared" si="87"/>
        <v>6.47</v>
      </c>
      <c r="BA60" s="3">
        <f t="shared" si="88"/>
        <v>6.47</v>
      </c>
      <c r="BB60" s="3">
        <f t="shared" si="89"/>
        <v>6.47</v>
      </c>
      <c r="BC60" s="3">
        <f t="shared" si="90"/>
        <v>7.117</v>
      </c>
      <c r="BD60" s="3">
        <f t="shared" si="91"/>
        <v>5.8229999999999995</v>
      </c>
      <c r="BE60" s="3">
        <f t="shared" si="77"/>
        <v>16.4985</v>
      </c>
      <c r="BF60" s="1">
        <f t="shared" si="78"/>
        <v>6.47</v>
      </c>
      <c r="BG60" s="8" t="str">
        <f t="shared" si="79"/>
        <v>6.15 Per Unit</v>
      </c>
      <c r="BH60" s="4">
        <f t="shared" si="80"/>
        <v>7.763999999999999</v>
      </c>
      <c r="BI60" s="1">
        <f t="shared" si="81"/>
        <v>6.47</v>
      </c>
      <c r="BJ60" s="3">
        <f t="shared" si="82"/>
        <v>6.1465</v>
      </c>
      <c r="BK60" s="1">
        <f t="shared" si="83"/>
        <v>6.47</v>
      </c>
      <c r="BL60" s="3">
        <v>5.8229999999999995</v>
      </c>
      <c r="BM60" s="8">
        <f t="shared" si="84"/>
        <v>6.47</v>
      </c>
      <c r="BN60" s="3">
        <f>MIN(N60:BM60:BM60)</f>
        <v>5.72</v>
      </c>
      <c r="BO60" s="3">
        <f t="shared" si="92"/>
        <v>28.41700059890746</v>
      </c>
    </row>
    <row r="61" spans="1:67" ht="19.5" customHeight="1">
      <c r="A61" s="10">
        <f t="shared" si="44"/>
        <v>60</v>
      </c>
      <c r="B61" s="23">
        <v>82570</v>
      </c>
      <c r="C61" s="6">
        <v>3018257000</v>
      </c>
      <c r="D61" s="30" t="s">
        <v>194</v>
      </c>
      <c r="E61" s="11" t="s">
        <v>371</v>
      </c>
      <c r="F61" s="45">
        <v>15.54</v>
      </c>
      <c r="G61" s="23">
        <v>301</v>
      </c>
      <c r="H61" s="48">
        <v>0</v>
      </c>
      <c r="I61" s="6">
        <v>0</v>
      </c>
      <c r="J61" s="8">
        <f t="shared" si="48"/>
        <v>6.734</v>
      </c>
      <c r="K61" s="24" t="s">
        <v>386</v>
      </c>
      <c r="L61" s="3">
        <v>5.18</v>
      </c>
      <c r="M61" s="3">
        <v>4.6</v>
      </c>
      <c r="N61" s="17">
        <f>6.19*1.8</f>
        <v>11.142000000000001</v>
      </c>
      <c r="O61" s="8">
        <f t="shared" si="49"/>
        <v>5.18</v>
      </c>
      <c r="P61" s="7">
        <f t="shared" si="93"/>
        <v>10.100999999999999</v>
      </c>
      <c r="Q61" s="1">
        <f t="shared" si="50"/>
        <v>5.18</v>
      </c>
      <c r="R61" s="4">
        <f t="shared" si="51"/>
        <v>5.698</v>
      </c>
      <c r="S61" s="1">
        <f t="shared" si="52"/>
        <v>5.18</v>
      </c>
      <c r="T61" s="1">
        <v>7.68</v>
      </c>
      <c r="U61" s="27">
        <f>7.23000001907348*3.14</f>
        <v>22.70220005989073</v>
      </c>
      <c r="V61" s="3">
        <f t="shared" si="53"/>
        <v>5.18</v>
      </c>
      <c r="W61" s="3">
        <f t="shared" si="54"/>
        <v>5.18</v>
      </c>
      <c r="X61" s="3">
        <f t="shared" si="55"/>
        <v>5.18</v>
      </c>
      <c r="Y61" s="3">
        <v>7.59</v>
      </c>
      <c r="Z61" s="3">
        <f t="shared" si="56"/>
        <v>4.920999999999999</v>
      </c>
      <c r="AA61" s="3">
        <f t="shared" si="57"/>
        <v>4.920999999999999</v>
      </c>
      <c r="AB61" s="3">
        <f t="shared" si="58"/>
        <v>5.18</v>
      </c>
      <c r="AC61" s="4">
        <f t="shared" si="59"/>
        <v>5.439</v>
      </c>
      <c r="AD61" s="3">
        <f t="shared" si="60"/>
        <v>5.18</v>
      </c>
      <c r="AE61" s="3">
        <f t="shared" si="61"/>
        <v>5.18</v>
      </c>
      <c r="AF61" s="3">
        <f t="shared" si="62"/>
        <v>4.7656</v>
      </c>
      <c r="AG61" s="4">
        <f t="shared" si="63"/>
        <v>10.877999999999998</v>
      </c>
      <c r="AH61" s="8">
        <f t="shared" si="94"/>
        <v>5.18</v>
      </c>
      <c r="AI61" s="8">
        <f t="shared" si="85"/>
        <v>5.18</v>
      </c>
      <c r="AJ61" s="4">
        <f t="shared" si="64"/>
        <v>7.0448</v>
      </c>
      <c r="AK61" s="1">
        <f t="shared" si="65"/>
        <v>5.18</v>
      </c>
      <c r="AL61" s="1">
        <f t="shared" si="66"/>
        <v>5.18</v>
      </c>
      <c r="AM61" s="2">
        <f t="shared" si="67"/>
        <v>5.18</v>
      </c>
      <c r="AN61" s="2">
        <f t="shared" si="68"/>
        <v>5.18</v>
      </c>
      <c r="AO61" s="3">
        <f t="shared" si="69"/>
        <v>4.6</v>
      </c>
      <c r="AP61" s="3">
        <f t="shared" si="95"/>
        <v>5.18</v>
      </c>
      <c r="AQ61" s="7">
        <f t="shared" si="70"/>
        <v>7.77</v>
      </c>
      <c r="AR61" s="1">
        <f t="shared" si="86"/>
        <v>11.5</v>
      </c>
      <c r="AS61" s="1">
        <f t="shared" si="71"/>
        <v>5.18</v>
      </c>
      <c r="AT61" s="3">
        <f t="shared" si="72"/>
        <v>6.216</v>
      </c>
      <c r="AU61" s="3">
        <f t="shared" si="96"/>
        <v>5.06</v>
      </c>
      <c r="AV61" s="1">
        <f t="shared" si="73"/>
        <v>5.18</v>
      </c>
      <c r="AW61" s="4">
        <f t="shared" si="74"/>
        <v>4.920999999999999</v>
      </c>
      <c r="AX61" s="3" t="str">
        <f t="shared" si="75"/>
        <v>4.56 Per Unit</v>
      </c>
      <c r="AY61" s="3">
        <f t="shared" si="76"/>
        <v>5.18</v>
      </c>
      <c r="AZ61" s="1">
        <f t="shared" si="87"/>
        <v>5.18</v>
      </c>
      <c r="BA61" s="3">
        <f t="shared" si="88"/>
        <v>5.18</v>
      </c>
      <c r="BB61" s="3">
        <f t="shared" si="89"/>
        <v>5.18</v>
      </c>
      <c r="BC61" s="3">
        <f t="shared" si="90"/>
        <v>5.698</v>
      </c>
      <c r="BD61" s="3">
        <f t="shared" si="91"/>
        <v>4.662</v>
      </c>
      <c r="BE61" s="3">
        <f t="shared" si="77"/>
        <v>13.209</v>
      </c>
      <c r="BF61" s="1">
        <f t="shared" si="78"/>
        <v>5.18</v>
      </c>
      <c r="BG61" s="8" t="str">
        <f t="shared" si="79"/>
        <v>4.92 Per Unit</v>
      </c>
      <c r="BH61" s="4">
        <f t="shared" si="80"/>
        <v>6.215999999999999</v>
      </c>
      <c r="BI61" s="1">
        <f t="shared" si="81"/>
        <v>5.18</v>
      </c>
      <c r="BJ61" s="3">
        <f t="shared" si="82"/>
        <v>4.920999999999999</v>
      </c>
      <c r="BK61" s="1">
        <f t="shared" si="83"/>
        <v>5.18</v>
      </c>
      <c r="BL61" s="3">
        <v>4.662</v>
      </c>
      <c r="BM61" s="8">
        <f t="shared" si="84"/>
        <v>5.18</v>
      </c>
      <c r="BN61" s="3">
        <f>MIN(N61:BM61:BM61)</f>
        <v>4.6</v>
      </c>
      <c r="BO61" s="3">
        <f t="shared" si="92"/>
        <v>22.70220005989073</v>
      </c>
    </row>
    <row r="62" spans="1:67" ht="19.5" customHeight="1">
      <c r="A62" s="10">
        <f t="shared" si="44"/>
        <v>61</v>
      </c>
      <c r="B62" s="23">
        <v>87081</v>
      </c>
      <c r="C62" s="6">
        <v>3068708100</v>
      </c>
      <c r="D62" s="30" t="s">
        <v>349</v>
      </c>
      <c r="E62" s="11" t="s">
        <v>371</v>
      </c>
      <c r="F62" s="45">
        <v>19.89</v>
      </c>
      <c r="G62" s="23">
        <v>306</v>
      </c>
      <c r="H62" s="48">
        <v>0</v>
      </c>
      <c r="I62" s="6">
        <v>0</v>
      </c>
      <c r="J62" s="8">
        <f t="shared" si="48"/>
        <v>8.619</v>
      </c>
      <c r="K62" s="24" t="s">
        <v>386</v>
      </c>
      <c r="L62" s="3">
        <v>6.63</v>
      </c>
      <c r="M62" s="3">
        <v>5.68</v>
      </c>
      <c r="N62" s="17">
        <f>7.93*1.8</f>
        <v>14.274</v>
      </c>
      <c r="O62" s="8">
        <f t="shared" si="49"/>
        <v>6.63</v>
      </c>
      <c r="P62" s="7">
        <f t="shared" si="93"/>
        <v>12.928500000000001</v>
      </c>
      <c r="Q62" s="1">
        <f t="shared" si="50"/>
        <v>6.63</v>
      </c>
      <c r="R62" s="4">
        <f t="shared" si="51"/>
        <v>7.293</v>
      </c>
      <c r="S62" s="1">
        <f t="shared" si="52"/>
        <v>6.63</v>
      </c>
      <c r="T62" s="1">
        <v>9.77</v>
      </c>
      <c r="U62" s="27">
        <f>9.26000022888183*3.14</f>
        <v>29.076400718688948</v>
      </c>
      <c r="V62" s="3">
        <f t="shared" si="53"/>
        <v>6.63</v>
      </c>
      <c r="W62" s="3">
        <f t="shared" si="54"/>
        <v>6.63</v>
      </c>
      <c r="X62" s="3">
        <f t="shared" si="55"/>
        <v>6.63</v>
      </c>
      <c r="Y62" s="3">
        <v>9.71</v>
      </c>
      <c r="Z62" s="3">
        <f t="shared" si="56"/>
        <v>6.2985</v>
      </c>
      <c r="AA62" s="3">
        <f t="shared" si="57"/>
        <v>6.2985</v>
      </c>
      <c r="AB62" s="3">
        <f t="shared" si="58"/>
        <v>6.63</v>
      </c>
      <c r="AC62" s="4">
        <f t="shared" si="59"/>
        <v>6.9615</v>
      </c>
      <c r="AD62" s="3">
        <f t="shared" si="60"/>
        <v>6.63</v>
      </c>
      <c r="AE62" s="3">
        <f t="shared" si="61"/>
        <v>6.63</v>
      </c>
      <c r="AF62" s="3">
        <f t="shared" si="62"/>
        <v>6.099600000000001</v>
      </c>
      <c r="AG62" s="4">
        <f t="shared" si="63"/>
        <v>13.923</v>
      </c>
      <c r="AH62" s="8">
        <f t="shared" si="94"/>
        <v>6.63</v>
      </c>
      <c r="AI62" s="8">
        <f t="shared" si="85"/>
        <v>6.63</v>
      </c>
      <c r="AJ62" s="4">
        <f t="shared" si="64"/>
        <v>9.0168</v>
      </c>
      <c r="AK62" s="1">
        <f t="shared" si="65"/>
        <v>6.63</v>
      </c>
      <c r="AL62" s="1">
        <f t="shared" si="66"/>
        <v>6.63</v>
      </c>
      <c r="AM62" s="2">
        <f t="shared" si="67"/>
        <v>6.63</v>
      </c>
      <c r="AN62" s="2">
        <f t="shared" si="68"/>
        <v>6.63</v>
      </c>
      <c r="AO62" s="3">
        <f t="shared" si="69"/>
        <v>5.68</v>
      </c>
      <c r="AP62" s="3">
        <f t="shared" si="95"/>
        <v>6.63</v>
      </c>
      <c r="AQ62" s="7">
        <f t="shared" si="70"/>
        <v>9.945</v>
      </c>
      <c r="AR62" s="1">
        <f t="shared" si="86"/>
        <v>14.2</v>
      </c>
      <c r="AS62" s="1">
        <f t="shared" si="71"/>
        <v>6.63</v>
      </c>
      <c r="AT62" s="3">
        <f t="shared" si="72"/>
        <v>7.956</v>
      </c>
      <c r="AU62" s="3">
        <f t="shared" si="96"/>
        <v>6.248</v>
      </c>
      <c r="AV62" s="1">
        <f t="shared" si="73"/>
        <v>6.63</v>
      </c>
      <c r="AW62" s="4">
        <f t="shared" si="74"/>
        <v>6.2985</v>
      </c>
      <c r="AX62" s="3" t="str">
        <f t="shared" si="75"/>
        <v>5.83 Per Unit</v>
      </c>
      <c r="AY62" s="3">
        <f t="shared" si="76"/>
        <v>6.63</v>
      </c>
      <c r="AZ62" s="1">
        <f t="shared" si="87"/>
        <v>6.63</v>
      </c>
      <c r="BA62" s="3">
        <f t="shared" si="88"/>
        <v>6.63</v>
      </c>
      <c r="BB62" s="3">
        <f t="shared" si="89"/>
        <v>6.63</v>
      </c>
      <c r="BC62" s="3">
        <f t="shared" si="90"/>
        <v>7.293</v>
      </c>
      <c r="BD62" s="3">
        <f t="shared" si="91"/>
        <v>5.967</v>
      </c>
      <c r="BE62" s="3">
        <f t="shared" si="77"/>
        <v>16.9065</v>
      </c>
      <c r="BF62" s="1">
        <f t="shared" si="78"/>
        <v>6.63</v>
      </c>
      <c r="BG62" s="8" t="str">
        <f t="shared" si="79"/>
        <v>6.3 Per Unit</v>
      </c>
      <c r="BH62" s="4">
        <f t="shared" si="80"/>
        <v>7.9559999999999995</v>
      </c>
      <c r="BI62" s="1">
        <f t="shared" si="81"/>
        <v>6.63</v>
      </c>
      <c r="BJ62" s="3">
        <f t="shared" si="82"/>
        <v>6.2985</v>
      </c>
      <c r="BK62" s="1">
        <f t="shared" si="83"/>
        <v>6.63</v>
      </c>
      <c r="BL62" s="3">
        <v>5.967</v>
      </c>
      <c r="BM62" s="8">
        <f t="shared" si="84"/>
        <v>6.63</v>
      </c>
      <c r="BN62" s="3">
        <f>MIN(N62:BM62:BM62)</f>
        <v>5.68</v>
      </c>
      <c r="BO62" s="3">
        <f t="shared" si="92"/>
        <v>29.076400718688948</v>
      </c>
    </row>
    <row r="63" spans="1:67" ht="19.5" customHeight="1">
      <c r="A63" s="10">
        <f t="shared" si="44"/>
        <v>62</v>
      </c>
      <c r="B63" s="6">
        <v>84155</v>
      </c>
      <c r="C63" s="6">
        <v>3018415500</v>
      </c>
      <c r="D63" s="29" t="s">
        <v>19</v>
      </c>
      <c r="E63" s="11" t="s">
        <v>371</v>
      </c>
      <c r="F63" s="45">
        <v>11.01</v>
      </c>
      <c r="G63" s="23">
        <v>301</v>
      </c>
      <c r="H63" s="48">
        <v>0</v>
      </c>
      <c r="I63" s="6">
        <v>0</v>
      </c>
      <c r="J63" s="8">
        <f t="shared" si="48"/>
        <v>4.771</v>
      </c>
      <c r="K63" s="24" t="s">
        <v>386</v>
      </c>
      <c r="L63" s="3">
        <v>3.67</v>
      </c>
      <c r="M63" s="3">
        <v>2.96</v>
      </c>
      <c r="N63" s="17">
        <f>4.39*1.8</f>
        <v>7.901999999999999</v>
      </c>
      <c r="O63" s="8">
        <f t="shared" si="49"/>
        <v>3.67</v>
      </c>
      <c r="P63" s="7">
        <f t="shared" si="93"/>
        <v>7.1565</v>
      </c>
      <c r="Q63" s="1">
        <f t="shared" si="50"/>
        <v>3.67</v>
      </c>
      <c r="R63" s="4">
        <f t="shared" si="51"/>
        <v>4.037</v>
      </c>
      <c r="S63" s="1">
        <f t="shared" si="52"/>
        <v>3.67</v>
      </c>
      <c r="T63" s="1">
        <v>5.44</v>
      </c>
      <c r="U63" s="27">
        <f>5.11999988555908*3.14</f>
        <v>16.076799640655512</v>
      </c>
      <c r="V63" s="3">
        <f t="shared" si="53"/>
        <v>3.67</v>
      </c>
      <c r="W63" s="3">
        <f t="shared" si="54"/>
        <v>3.67</v>
      </c>
      <c r="X63" s="3">
        <f t="shared" si="55"/>
        <v>3.67</v>
      </c>
      <c r="Y63" s="3">
        <v>5.39</v>
      </c>
      <c r="Z63" s="3">
        <f t="shared" si="56"/>
        <v>3.4865</v>
      </c>
      <c r="AA63" s="3">
        <f t="shared" si="57"/>
        <v>3.4865</v>
      </c>
      <c r="AB63" s="3">
        <f t="shared" si="58"/>
        <v>3.67</v>
      </c>
      <c r="AC63" s="4">
        <f t="shared" si="59"/>
        <v>3.8535</v>
      </c>
      <c r="AD63" s="3">
        <f t="shared" si="60"/>
        <v>3.67</v>
      </c>
      <c r="AE63" s="3">
        <f t="shared" si="61"/>
        <v>3.67</v>
      </c>
      <c r="AF63" s="3">
        <f t="shared" si="62"/>
        <v>3.3764000000000003</v>
      </c>
      <c r="AG63" s="4">
        <f t="shared" si="63"/>
        <v>7.706999999999999</v>
      </c>
      <c r="AH63" s="8">
        <f t="shared" si="94"/>
        <v>3.67</v>
      </c>
      <c r="AI63" s="8">
        <f t="shared" si="85"/>
        <v>3.67</v>
      </c>
      <c r="AJ63" s="4">
        <f t="shared" si="64"/>
        <v>4.9912</v>
      </c>
      <c r="AK63" s="1">
        <f t="shared" si="65"/>
        <v>3.67</v>
      </c>
      <c r="AL63" s="1">
        <f t="shared" si="66"/>
        <v>3.67</v>
      </c>
      <c r="AM63" s="2">
        <f t="shared" si="67"/>
        <v>3.67</v>
      </c>
      <c r="AN63" s="2">
        <f t="shared" si="68"/>
        <v>3.67</v>
      </c>
      <c r="AO63" s="3">
        <f t="shared" si="69"/>
        <v>2.96</v>
      </c>
      <c r="AP63" s="3">
        <f t="shared" si="95"/>
        <v>3.67</v>
      </c>
      <c r="AQ63" s="7">
        <f t="shared" si="70"/>
        <v>5.505</v>
      </c>
      <c r="AR63" s="1">
        <f t="shared" si="86"/>
        <v>7.4</v>
      </c>
      <c r="AS63" s="1">
        <f t="shared" si="71"/>
        <v>3.67</v>
      </c>
      <c r="AT63" s="3">
        <f t="shared" si="72"/>
        <v>4.404</v>
      </c>
      <c r="AU63" s="3">
        <f t="shared" si="96"/>
        <v>3.2560000000000002</v>
      </c>
      <c r="AV63" s="1">
        <f t="shared" si="73"/>
        <v>3.67</v>
      </c>
      <c r="AW63" s="4">
        <f t="shared" si="74"/>
        <v>3.4865</v>
      </c>
      <c r="AX63" s="3" t="str">
        <f t="shared" si="75"/>
        <v>3.23 Per Unit</v>
      </c>
      <c r="AY63" s="3">
        <f t="shared" si="76"/>
        <v>3.67</v>
      </c>
      <c r="AZ63" s="1">
        <f t="shared" si="87"/>
        <v>3.67</v>
      </c>
      <c r="BA63" s="3">
        <f t="shared" si="88"/>
        <v>3.67</v>
      </c>
      <c r="BB63" s="3">
        <f t="shared" si="89"/>
        <v>3.67</v>
      </c>
      <c r="BC63" s="3">
        <f t="shared" si="90"/>
        <v>4.037</v>
      </c>
      <c r="BD63" s="3">
        <f t="shared" si="91"/>
        <v>3.303</v>
      </c>
      <c r="BE63" s="3">
        <f t="shared" si="77"/>
        <v>9.3585</v>
      </c>
      <c r="BF63" s="1">
        <f t="shared" si="78"/>
        <v>3.67</v>
      </c>
      <c r="BG63" s="8" t="str">
        <f t="shared" si="79"/>
        <v>3.49 Per Unit</v>
      </c>
      <c r="BH63" s="4">
        <f t="shared" si="80"/>
        <v>4.404</v>
      </c>
      <c r="BI63" s="1">
        <f t="shared" si="81"/>
        <v>3.67</v>
      </c>
      <c r="BJ63" s="3">
        <f t="shared" si="82"/>
        <v>3.4865</v>
      </c>
      <c r="BK63" s="1">
        <f t="shared" si="83"/>
        <v>3.67</v>
      </c>
      <c r="BL63" s="3">
        <v>3.303</v>
      </c>
      <c r="BM63" s="8">
        <f t="shared" si="84"/>
        <v>3.67</v>
      </c>
      <c r="BN63" s="3">
        <f>MIN(N63:BM63:BM63)</f>
        <v>2.96</v>
      </c>
      <c r="BO63" s="3">
        <f t="shared" si="92"/>
        <v>16.076799640655512</v>
      </c>
    </row>
    <row r="64" spans="1:67" ht="19.5" customHeight="1">
      <c r="A64" s="10">
        <f t="shared" si="44"/>
        <v>63</v>
      </c>
      <c r="B64" s="23">
        <v>84550</v>
      </c>
      <c r="C64" s="6">
        <v>3018455000</v>
      </c>
      <c r="D64" s="29" t="s">
        <v>22</v>
      </c>
      <c r="E64" s="11" t="s">
        <v>371</v>
      </c>
      <c r="F64" s="45">
        <v>13.56</v>
      </c>
      <c r="G64" s="23">
        <v>301</v>
      </c>
      <c r="H64" s="48">
        <v>0</v>
      </c>
      <c r="I64" s="6">
        <v>0</v>
      </c>
      <c r="J64" s="8">
        <f t="shared" si="48"/>
        <v>5.8759999999999994</v>
      </c>
      <c r="K64" s="24" t="s">
        <v>386</v>
      </c>
      <c r="L64" s="3">
        <v>4.52</v>
      </c>
      <c r="M64" s="3">
        <v>4.01</v>
      </c>
      <c r="N64" s="17">
        <f>5.41*1.8</f>
        <v>9.738000000000001</v>
      </c>
      <c r="O64" s="8">
        <f t="shared" si="49"/>
        <v>4.52</v>
      </c>
      <c r="P64" s="7">
        <f t="shared" si="93"/>
        <v>8.814</v>
      </c>
      <c r="Q64" s="1">
        <f t="shared" si="50"/>
        <v>4.52</v>
      </c>
      <c r="R64" s="4">
        <f t="shared" si="51"/>
        <v>4.9719999999999995</v>
      </c>
      <c r="S64" s="1">
        <f t="shared" si="52"/>
        <v>4.52</v>
      </c>
      <c r="T64" s="1">
        <v>6.72</v>
      </c>
      <c r="U64" s="27">
        <f>6.30999994277954*3.14</f>
        <v>19.813399820327756</v>
      </c>
      <c r="V64" s="3">
        <f t="shared" si="53"/>
        <v>4.52</v>
      </c>
      <c r="W64" s="3">
        <f t="shared" si="54"/>
        <v>4.52</v>
      </c>
      <c r="X64" s="3">
        <f t="shared" si="55"/>
        <v>4.52</v>
      </c>
      <c r="Y64" s="3">
        <v>6.62</v>
      </c>
      <c r="Z64" s="3">
        <f t="shared" si="56"/>
        <v>4.294</v>
      </c>
      <c r="AA64" s="3">
        <f t="shared" si="57"/>
        <v>4.294</v>
      </c>
      <c r="AB64" s="3">
        <f t="shared" si="58"/>
        <v>4.52</v>
      </c>
      <c r="AC64" s="4">
        <f t="shared" si="59"/>
        <v>4.7459999999999996</v>
      </c>
      <c r="AD64" s="3">
        <f t="shared" si="60"/>
        <v>4.52</v>
      </c>
      <c r="AE64" s="3">
        <f t="shared" si="61"/>
        <v>4.52</v>
      </c>
      <c r="AF64" s="3">
        <f t="shared" si="62"/>
        <v>4.158399999999999</v>
      </c>
      <c r="AG64" s="4">
        <f t="shared" si="63"/>
        <v>9.491999999999999</v>
      </c>
      <c r="AH64" s="8">
        <f t="shared" si="94"/>
        <v>4.52</v>
      </c>
      <c r="AI64" s="8">
        <f t="shared" si="85"/>
        <v>4.52</v>
      </c>
      <c r="AJ64" s="4">
        <f t="shared" si="64"/>
        <v>6.1472</v>
      </c>
      <c r="AK64" s="1">
        <f t="shared" si="65"/>
        <v>4.52</v>
      </c>
      <c r="AL64" s="1">
        <f t="shared" si="66"/>
        <v>4.52</v>
      </c>
      <c r="AM64" s="2">
        <f t="shared" si="67"/>
        <v>4.52</v>
      </c>
      <c r="AN64" s="2">
        <f t="shared" si="68"/>
        <v>4.52</v>
      </c>
      <c r="AO64" s="3">
        <f t="shared" si="69"/>
        <v>4.01</v>
      </c>
      <c r="AP64" s="3">
        <f t="shared" si="95"/>
        <v>4.52</v>
      </c>
      <c r="AQ64" s="7">
        <f t="shared" si="70"/>
        <v>6.78</v>
      </c>
      <c r="AR64" s="1">
        <f t="shared" si="86"/>
        <v>10.024999999999999</v>
      </c>
      <c r="AS64" s="1">
        <f t="shared" si="71"/>
        <v>4.52</v>
      </c>
      <c r="AT64" s="3">
        <f t="shared" si="72"/>
        <v>5.424</v>
      </c>
      <c r="AU64" s="3">
        <f t="shared" si="96"/>
        <v>4.4110000000000005</v>
      </c>
      <c r="AV64" s="1">
        <f t="shared" si="73"/>
        <v>4.52</v>
      </c>
      <c r="AW64" s="4">
        <f t="shared" si="74"/>
        <v>4.294</v>
      </c>
      <c r="AX64" s="3" t="str">
        <f t="shared" si="75"/>
        <v>3.98 Per Unit</v>
      </c>
      <c r="AY64" s="3">
        <f t="shared" si="76"/>
        <v>4.52</v>
      </c>
      <c r="AZ64" s="1">
        <f t="shared" si="87"/>
        <v>4.52</v>
      </c>
      <c r="BA64" s="3">
        <f t="shared" si="88"/>
        <v>4.52</v>
      </c>
      <c r="BB64" s="3">
        <f t="shared" si="89"/>
        <v>4.52</v>
      </c>
      <c r="BC64" s="3">
        <f t="shared" si="90"/>
        <v>4.9719999999999995</v>
      </c>
      <c r="BD64" s="3">
        <f t="shared" si="91"/>
        <v>4.068</v>
      </c>
      <c r="BE64" s="3">
        <f t="shared" si="77"/>
        <v>11.526</v>
      </c>
      <c r="BF64" s="1">
        <f t="shared" si="78"/>
        <v>4.52</v>
      </c>
      <c r="BG64" s="8" t="str">
        <f t="shared" si="79"/>
        <v>4.29 Per Unit</v>
      </c>
      <c r="BH64" s="4">
        <f t="shared" si="80"/>
        <v>5.4239999999999995</v>
      </c>
      <c r="BI64" s="1">
        <f t="shared" si="81"/>
        <v>4.52</v>
      </c>
      <c r="BJ64" s="3">
        <f t="shared" si="82"/>
        <v>4.294</v>
      </c>
      <c r="BK64" s="1">
        <f t="shared" si="83"/>
        <v>4.52</v>
      </c>
      <c r="BL64" s="3">
        <v>4.068</v>
      </c>
      <c r="BM64" s="8">
        <f t="shared" si="84"/>
        <v>4.52</v>
      </c>
      <c r="BN64" s="3">
        <f>MIN(N64:BM64:BM64)</f>
        <v>4.01</v>
      </c>
      <c r="BO64" s="3">
        <f t="shared" si="92"/>
        <v>19.813399820327756</v>
      </c>
    </row>
    <row r="65" spans="1:67" ht="19.5" customHeight="1">
      <c r="A65" s="10">
        <f t="shared" si="44"/>
        <v>64</v>
      </c>
      <c r="B65" s="23">
        <v>86141</v>
      </c>
      <c r="C65" s="6">
        <v>3028614100</v>
      </c>
      <c r="D65" s="29" t="s">
        <v>350</v>
      </c>
      <c r="E65" s="11" t="s">
        <v>371</v>
      </c>
      <c r="F65" s="45">
        <v>38.85</v>
      </c>
      <c r="G65" s="23">
        <v>302</v>
      </c>
      <c r="H65" s="48">
        <v>0</v>
      </c>
      <c r="I65" s="6">
        <v>0</v>
      </c>
      <c r="J65" s="8">
        <f aca="true" t="shared" si="97" ref="J65:J96">L65*1.3</f>
        <v>16.835</v>
      </c>
      <c r="K65" s="24" t="s">
        <v>386</v>
      </c>
      <c r="L65" s="3">
        <v>12.95</v>
      </c>
      <c r="M65" s="3">
        <v>11.19</v>
      </c>
      <c r="N65" s="17">
        <f>15.49*1.8</f>
        <v>27.882</v>
      </c>
      <c r="O65" s="8">
        <f aca="true" t="shared" si="98" ref="O65:O96">L65</f>
        <v>12.95</v>
      </c>
      <c r="P65" s="7">
        <f t="shared" si="93"/>
        <v>25.2525</v>
      </c>
      <c r="Q65" s="1">
        <f aca="true" t="shared" si="99" ref="Q65:Q96">L65</f>
        <v>12.95</v>
      </c>
      <c r="R65" s="4">
        <f aca="true" t="shared" si="100" ref="R65:R96">L65*1.1</f>
        <v>14.245000000000001</v>
      </c>
      <c r="S65" s="1">
        <f aca="true" t="shared" si="101" ref="S65:S96">L65</f>
        <v>12.95</v>
      </c>
      <c r="T65" s="1">
        <v>19.22</v>
      </c>
      <c r="U65" s="27">
        <f>18.0900001525878*3.14</f>
        <v>56.80260047912569</v>
      </c>
      <c r="V65" s="3">
        <f aca="true" t="shared" si="102" ref="V65:V96">L65</f>
        <v>12.95</v>
      </c>
      <c r="W65" s="3">
        <f aca="true" t="shared" si="103" ref="W65:W96">L65</f>
        <v>12.95</v>
      </c>
      <c r="X65" s="3">
        <f aca="true" t="shared" si="104" ref="X65:X96">L65</f>
        <v>12.95</v>
      </c>
      <c r="Y65" s="3">
        <v>18.95</v>
      </c>
      <c r="Z65" s="3">
        <f aca="true" t="shared" si="105" ref="Z65:Z96">L65*0.95</f>
        <v>12.302499999999998</v>
      </c>
      <c r="AA65" s="3">
        <f aca="true" t="shared" si="106" ref="AA65:AA96">L65*0.95</f>
        <v>12.302499999999998</v>
      </c>
      <c r="AB65" s="3">
        <f aca="true" t="shared" si="107" ref="AB65:AB96">L65</f>
        <v>12.95</v>
      </c>
      <c r="AC65" s="4">
        <f aca="true" t="shared" si="108" ref="AC65:AC96">L65*1.05</f>
        <v>13.5975</v>
      </c>
      <c r="AD65" s="3">
        <f aca="true" t="shared" si="109" ref="AD65:AD96">L65</f>
        <v>12.95</v>
      </c>
      <c r="AE65" s="3">
        <f aca="true" t="shared" si="110" ref="AE65:AE96">L65</f>
        <v>12.95</v>
      </c>
      <c r="AF65" s="3">
        <f aca="true" t="shared" si="111" ref="AF65:AF96">L65*0.92</f>
        <v>11.914</v>
      </c>
      <c r="AG65" s="4">
        <f aca="true" t="shared" si="112" ref="AG65:AG96">F65*0.7</f>
        <v>27.195</v>
      </c>
      <c r="AH65" s="8">
        <f t="shared" si="94"/>
        <v>12.95</v>
      </c>
      <c r="AI65" s="8">
        <f t="shared" si="85"/>
        <v>12.95</v>
      </c>
      <c r="AJ65" s="4">
        <f aca="true" t="shared" si="113" ref="AJ65:AJ96">L65*1.36</f>
        <v>17.612000000000002</v>
      </c>
      <c r="AK65" s="1">
        <f aca="true" t="shared" si="114" ref="AK65:AK96">L65</f>
        <v>12.95</v>
      </c>
      <c r="AL65" s="1">
        <f aca="true" t="shared" si="115" ref="AL65:AL96">L65</f>
        <v>12.95</v>
      </c>
      <c r="AM65" s="2">
        <f aca="true" t="shared" si="116" ref="AM65:AM96">L65</f>
        <v>12.95</v>
      </c>
      <c r="AN65" s="2">
        <f aca="true" t="shared" si="117" ref="AN65:AN96">L65</f>
        <v>12.95</v>
      </c>
      <c r="AO65" s="3">
        <f aca="true" t="shared" si="118" ref="AO65:AO96">M65</f>
        <v>11.19</v>
      </c>
      <c r="AP65" s="3">
        <f t="shared" si="95"/>
        <v>12.95</v>
      </c>
      <c r="AQ65" s="7">
        <f aca="true" t="shared" si="119" ref="AQ65:AQ96">F65*0.5</f>
        <v>19.425</v>
      </c>
      <c r="AR65" s="1">
        <f t="shared" si="86"/>
        <v>27.974999999999998</v>
      </c>
      <c r="AS65" s="1">
        <f aca="true" t="shared" si="120" ref="AS65:AS96">L65</f>
        <v>12.95</v>
      </c>
      <c r="AT65" s="3">
        <f aca="true" t="shared" si="121" ref="AT65:AT96">F65*0.4</f>
        <v>15.540000000000001</v>
      </c>
      <c r="AU65" s="3">
        <f t="shared" si="96"/>
        <v>12.309000000000001</v>
      </c>
      <c r="AV65" s="1">
        <f aca="true" t="shared" si="122" ref="AV65:AV96">L65</f>
        <v>12.95</v>
      </c>
      <c r="AW65" s="4">
        <f t="shared" si="74"/>
        <v>12.302499999999998</v>
      </c>
      <c r="AX65" s="3" t="str">
        <f aca="true" t="shared" si="123" ref="AX65:AX96">CONCATENATE(ROUND(L65*0.88,2)," ",K65)</f>
        <v>11.4 Per Unit</v>
      </c>
      <c r="AY65" s="3">
        <f aca="true" t="shared" si="124" ref="AY65:AY96">L65</f>
        <v>12.95</v>
      </c>
      <c r="AZ65" s="1">
        <f t="shared" si="87"/>
        <v>12.95</v>
      </c>
      <c r="BA65" s="3">
        <f t="shared" si="88"/>
        <v>12.95</v>
      </c>
      <c r="BB65" s="3">
        <f t="shared" si="89"/>
        <v>12.95</v>
      </c>
      <c r="BC65" s="3">
        <f t="shared" si="90"/>
        <v>14.245000000000001</v>
      </c>
      <c r="BD65" s="3">
        <f t="shared" si="91"/>
        <v>11.655</v>
      </c>
      <c r="BE65" s="3">
        <f aca="true" t="shared" si="125" ref="BE65:BE96">F65*0.85</f>
        <v>33.0225</v>
      </c>
      <c r="BF65" s="1">
        <f aca="true" t="shared" si="126" ref="BF65:BF96">L65</f>
        <v>12.95</v>
      </c>
      <c r="BG65" s="8" t="str">
        <f aca="true" t="shared" si="127" ref="BG65:BG96">CONCATENATE(ROUND(L65*0.95,2)," ",K65)</f>
        <v>12.3 Per Unit</v>
      </c>
      <c r="BH65" s="4">
        <f t="shared" si="80"/>
        <v>15.54</v>
      </c>
      <c r="BI65" s="1">
        <f t="shared" si="81"/>
        <v>12.95</v>
      </c>
      <c r="BJ65" s="3">
        <f aca="true" t="shared" si="128" ref="BJ65:BJ96">L65*0.95</f>
        <v>12.302499999999998</v>
      </c>
      <c r="BK65" s="1">
        <f aca="true" t="shared" si="129" ref="BK65:BK96">L65</f>
        <v>12.95</v>
      </c>
      <c r="BL65" s="3">
        <v>11.655</v>
      </c>
      <c r="BM65" s="8">
        <f aca="true" t="shared" si="130" ref="BM65:BM96">L65</f>
        <v>12.95</v>
      </c>
      <c r="BN65" s="3">
        <f>MIN(N65:BM65:BM65)</f>
        <v>11.19</v>
      </c>
      <c r="BO65" s="3">
        <f t="shared" si="92"/>
        <v>56.80260047912569</v>
      </c>
    </row>
    <row r="66" spans="1:67" ht="19.5" customHeight="1">
      <c r="A66" s="10">
        <f t="shared" si="44"/>
        <v>65</v>
      </c>
      <c r="B66" s="23">
        <v>87186</v>
      </c>
      <c r="C66" s="6">
        <v>3068718600</v>
      </c>
      <c r="D66" s="30" t="s">
        <v>198</v>
      </c>
      <c r="E66" s="11" t="s">
        <v>371</v>
      </c>
      <c r="F66" s="45">
        <v>25.95</v>
      </c>
      <c r="G66" s="23">
        <v>306</v>
      </c>
      <c r="H66" s="48">
        <v>0</v>
      </c>
      <c r="I66" s="6">
        <v>0</v>
      </c>
      <c r="J66" s="8">
        <f t="shared" si="97"/>
        <v>11.245000000000001</v>
      </c>
      <c r="K66" s="24" t="s">
        <v>386</v>
      </c>
      <c r="L66" s="3">
        <v>8.65</v>
      </c>
      <c r="M66" s="3">
        <v>7.57</v>
      </c>
      <c r="N66" s="19">
        <f>10.34*1.8</f>
        <v>18.612000000000002</v>
      </c>
      <c r="O66" s="8">
        <f t="shared" si="98"/>
        <v>8.65</v>
      </c>
      <c r="P66" s="7">
        <f t="shared" si="93"/>
        <v>16.8675</v>
      </c>
      <c r="Q66" s="1">
        <f t="shared" si="99"/>
        <v>8.65</v>
      </c>
      <c r="R66" s="4">
        <f t="shared" si="100"/>
        <v>9.515</v>
      </c>
      <c r="S66" s="1">
        <f t="shared" si="101"/>
        <v>8.65</v>
      </c>
      <c r="T66" s="1">
        <v>12.84</v>
      </c>
      <c r="U66" s="27">
        <f>12.079999923706*3.14</f>
        <v>37.93119976043684</v>
      </c>
      <c r="V66" s="3">
        <f t="shared" si="102"/>
        <v>8.65</v>
      </c>
      <c r="W66" s="3">
        <f t="shared" si="103"/>
        <v>8.65</v>
      </c>
      <c r="X66" s="3">
        <f t="shared" si="104"/>
        <v>8.65</v>
      </c>
      <c r="Y66" s="3">
        <v>12.65</v>
      </c>
      <c r="Z66" s="3">
        <f t="shared" si="105"/>
        <v>8.2175</v>
      </c>
      <c r="AA66" s="3">
        <f t="shared" si="106"/>
        <v>8.2175</v>
      </c>
      <c r="AB66" s="3">
        <f t="shared" si="107"/>
        <v>8.65</v>
      </c>
      <c r="AC66" s="4">
        <f t="shared" si="108"/>
        <v>9.082500000000001</v>
      </c>
      <c r="AD66" s="3">
        <f t="shared" si="109"/>
        <v>8.65</v>
      </c>
      <c r="AE66" s="3">
        <f t="shared" si="110"/>
        <v>8.65</v>
      </c>
      <c r="AF66" s="3">
        <f t="shared" si="111"/>
        <v>7.958000000000001</v>
      </c>
      <c r="AG66" s="4">
        <f t="shared" si="112"/>
        <v>18.165</v>
      </c>
      <c r="AH66" s="8">
        <f t="shared" si="94"/>
        <v>8.65</v>
      </c>
      <c r="AI66" s="8">
        <f t="shared" si="85"/>
        <v>8.65</v>
      </c>
      <c r="AJ66" s="4">
        <f t="shared" si="113"/>
        <v>11.764000000000001</v>
      </c>
      <c r="AK66" s="1">
        <f t="shared" si="114"/>
        <v>8.65</v>
      </c>
      <c r="AL66" s="1">
        <f t="shared" si="115"/>
        <v>8.65</v>
      </c>
      <c r="AM66" s="2">
        <f t="shared" si="116"/>
        <v>8.65</v>
      </c>
      <c r="AN66" s="2">
        <f t="shared" si="117"/>
        <v>8.65</v>
      </c>
      <c r="AO66" s="3">
        <f t="shared" si="118"/>
        <v>7.57</v>
      </c>
      <c r="AP66" s="3">
        <f t="shared" si="95"/>
        <v>8.65</v>
      </c>
      <c r="AQ66" s="7">
        <f t="shared" si="119"/>
        <v>12.975</v>
      </c>
      <c r="AR66" s="1">
        <f t="shared" si="86"/>
        <v>18.925</v>
      </c>
      <c r="AS66" s="1">
        <f t="shared" si="120"/>
        <v>8.65</v>
      </c>
      <c r="AT66" s="3">
        <f t="shared" si="121"/>
        <v>10.38</v>
      </c>
      <c r="AU66" s="3">
        <f t="shared" si="96"/>
        <v>8.327000000000002</v>
      </c>
      <c r="AV66" s="1">
        <f t="shared" si="122"/>
        <v>8.65</v>
      </c>
      <c r="AW66" s="4">
        <f t="shared" si="74"/>
        <v>8.2175</v>
      </c>
      <c r="AX66" s="3" t="str">
        <f t="shared" si="123"/>
        <v>7.61 Per Unit</v>
      </c>
      <c r="AY66" s="3">
        <f t="shared" si="124"/>
        <v>8.65</v>
      </c>
      <c r="AZ66" s="1">
        <f t="shared" si="87"/>
        <v>8.65</v>
      </c>
      <c r="BA66" s="3">
        <f t="shared" si="88"/>
        <v>8.65</v>
      </c>
      <c r="BB66" s="3">
        <f t="shared" si="89"/>
        <v>8.65</v>
      </c>
      <c r="BC66" s="3">
        <f t="shared" si="90"/>
        <v>9.515</v>
      </c>
      <c r="BD66" s="3">
        <f t="shared" si="91"/>
        <v>7.785</v>
      </c>
      <c r="BE66" s="3">
        <f t="shared" si="125"/>
        <v>22.057499999999997</v>
      </c>
      <c r="BF66" s="1">
        <f t="shared" si="126"/>
        <v>8.65</v>
      </c>
      <c r="BG66" s="8" t="str">
        <f t="shared" si="127"/>
        <v>8.22 Per Unit</v>
      </c>
      <c r="BH66" s="4">
        <f t="shared" si="80"/>
        <v>10.38</v>
      </c>
      <c r="BI66" s="1">
        <f t="shared" si="81"/>
        <v>8.65</v>
      </c>
      <c r="BJ66" s="3">
        <f t="shared" si="128"/>
        <v>8.2175</v>
      </c>
      <c r="BK66" s="1">
        <f t="shared" si="129"/>
        <v>8.65</v>
      </c>
      <c r="BL66" s="3">
        <v>7.785</v>
      </c>
      <c r="BM66" s="8">
        <f t="shared" si="130"/>
        <v>8.65</v>
      </c>
      <c r="BN66" s="3">
        <f>MIN(N66:BM66:BM66)</f>
        <v>7.57</v>
      </c>
      <c r="BO66" s="3">
        <f aca="true" t="shared" si="131" ref="BO66:BO97">MAX(N66:BM66)</f>
        <v>37.93119976043684</v>
      </c>
    </row>
    <row r="67" spans="1:67" ht="19.5" customHeight="1">
      <c r="A67" s="10">
        <f t="shared" si="44"/>
        <v>66</v>
      </c>
      <c r="B67" s="23">
        <v>82043</v>
      </c>
      <c r="C67" s="6">
        <v>3018204300</v>
      </c>
      <c r="D67" s="29" t="s">
        <v>40</v>
      </c>
      <c r="E67" s="11" t="s">
        <v>371</v>
      </c>
      <c r="F67" s="45">
        <v>17.34</v>
      </c>
      <c r="G67" s="23">
        <v>301</v>
      </c>
      <c r="H67" s="48">
        <v>0</v>
      </c>
      <c r="I67" s="6">
        <v>0</v>
      </c>
      <c r="J67" s="8">
        <f t="shared" si="97"/>
        <v>7.514</v>
      </c>
      <c r="K67" s="24" t="s">
        <v>386</v>
      </c>
      <c r="L67" s="3">
        <v>5.78</v>
      </c>
      <c r="M67" s="3">
        <v>5.08</v>
      </c>
      <c r="N67" s="17">
        <f>6.92*1.8</f>
        <v>12.456</v>
      </c>
      <c r="O67" s="8">
        <f t="shared" si="98"/>
        <v>5.78</v>
      </c>
      <c r="P67" s="7">
        <f aca="true" t="shared" si="132" ref="P67:P98">F67*0.65</f>
        <v>11.271</v>
      </c>
      <c r="Q67" s="1">
        <f t="shared" si="99"/>
        <v>5.78</v>
      </c>
      <c r="R67" s="4">
        <f t="shared" si="100"/>
        <v>6.3580000000000005</v>
      </c>
      <c r="S67" s="1">
        <f t="shared" si="101"/>
        <v>5.78</v>
      </c>
      <c r="T67" s="1">
        <v>8.6</v>
      </c>
      <c r="U67" s="27">
        <f>8.09000015258789*3.14</f>
        <v>25.402600479125976</v>
      </c>
      <c r="V67" s="3">
        <f t="shared" si="102"/>
        <v>5.78</v>
      </c>
      <c r="W67" s="3">
        <f t="shared" si="103"/>
        <v>5.78</v>
      </c>
      <c r="X67" s="3">
        <f t="shared" si="104"/>
        <v>5.78</v>
      </c>
      <c r="Y67" s="3">
        <v>8.46</v>
      </c>
      <c r="Z67" s="3">
        <f t="shared" si="105"/>
        <v>5.491</v>
      </c>
      <c r="AA67" s="3">
        <f t="shared" si="106"/>
        <v>5.491</v>
      </c>
      <c r="AB67" s="3">
        <f t="shared" si="107"/>
        <v>5.78</v>
      </c>
      <c r="AC67" s="4">
        <f t="shared" si="108"/>
        <v>6.069000000000001</v>
      </c>
      <c r="AD67" s="3">
        <f t="shared" si="109"/>
        <v>5.78</v>
      </c>
      <c r="AE67" s="3">
        <f t="shared" si="110"/>
        <v>5.78</v>
      </c>
      <c r="AF67" s="3">
        <f t="shared" si="111"/>
        <v>5.3176000000000005</v>
      </c>
      <c r="AG67" s="4">
        <f t="shared" si="112"/>
        <v>12.138</v>
      </c>
      <c r="AH67" s="8">
        <f t="shared" si="94"/>
        <v>5.78</v>
      </c>
      <c r="AI67" s="8">
        <f t="shared" si="85"/>
        <v>5.78</v>
      </c>
      <c r="AJ67" s="4">
        <f t="shared" si="113"/>
        <v>7.860800000000001</v>
      </c>
      <c r="AK67" s="1">
        <f t="shared" si="114"/>
        <v>5.78</v>
      </c>
      <c r="AL67" s="1">
        <f t="shared" si="115"/>
        <v>5.78</v>
      </c>
      <c r="AM67" s="2">
        <f t="shared" si="116"/>
        <v>5.78</v>
      </c>
      <c r="AN67" s="2">
        <f t="shared" si="117"/>
        <v>5.78</v>
      </c>
      <c r="AO67" s="3">
        <f t="shared" si="118"/>
        <v>5.08</v>
      </c>
      <c r="AP67" s="3">
        <f aca="true" t="shared" si="133" ref="AP67:AP98">L67</f>
        <v>5.78</v>
      </c>
      <c r="AQ67" s="7">
        <f t="shared" si="119"/>
        <v>8.67</v>
      </c>
      <c r="AR67" s="1">
        <f t="shared" si="86"/>
        <v>12.7</v>
      </c>
      <c r="AS67" s="1">
        <f t="shared" si="120"/>
        <v>5.78</v>
      </c>
      <c r="AT67" s="3">
        <f t="shared" si="121"/>
        <v>6.936</v>
      </c>
      <c r="AU67" s="3">
        <f t="shared" si="96"/>
        <v>5.588000000000001</v>
      </c>
      <c r="AV67" s="1">
        <f t="shared" si="122"/>
        <v>5.78</v>
      </c>
      <c r="AW67" s="4">
        <f t="shared" si="74"/>
        <v>5.491</v>
      </c>
      <c r="AX67" s="3" t="str">
        <f t="shared" si="123"/>
        <v>5.09 Per Unit</v>
      </c>
      <c r="AY67" s="3">
        <f t="shared" si="124"/>
        <v>5.78</v>
      </c>
      <c r="AZ67" s="1">
        <f t="shared" si="87"/>
        <v>5.78</v>
      </c>
      <c r="BA67" s="3">
        <f t="shared" si="88"/>
        <v>5.78</v>
      </c>
      <c r="BB67" s="3">
        <f t="shared" si="89"/>
        <v>5.78</v>
      </c>
      <c r="BC67" s="3">
        <f t="shared" si="90"/>
        <v>6.3580000000000005</v>
      </c>
      <c r="BD67" s="3">
        <f t="shared" si="91"/>
        <v>5.202</v>
      </c>
      <c r="BE67" s="3">
        <f t="shared" si="125"/>
        <v>14.738999999999999</v>
      </c>
      <c r="BF67" s="1">
        <f t="shared" si="126"/>
        <v>5.78</v>
      </c>
      <c r="BG67" s="8" t="str">
        <f t="shared" si="127"/>
        <v>5.49 Per Unit</v>
      </c>
      <c r="BH67" s="4">
        <f aca="true" t="shared" si="134" ref="BH67:BH98">L67*1.2</f>
        <v>6.936</v>
      </c>
      <c r="BI67" s="1">
        <f aca="true" t="shared" si="135" ref="BI67:BI98">L67</f>
        <v>5.78</v>
      </c>
      <c r="BJ67" s="3">
        <f t="shared" si="128"/>
        <v>5.491</v>
      </c>
      <c r="BK67" s="1">
        <f t="shared" si="129"/>
        <v>5.78</v>
      </c>
      <c r="BL67" s="3">
        <v>5.202</v>
      </c>
      <c r="BM67" s="8">
        <f t="shared" si="130"/>
        <v>5.78</v>
      </c>
      <c r="BN67" s="3">
        <f>MIN(N67:BM67:BM67)</f>
        <v>5.08</v>
      </c>
      <c r="BO67" s="3">
        <f t="shared" si="131"/>
        <v>25.402600479125976</v>
      </c>
    </row>
    <row r="68" spans="1:67" ht="19.5" customHeight="1">
      <c r="A68" s="10">
        <f t="shared" si="44"/>
        <v>67</v>
      </c>
      <c r="B68" s="23">
        <v>84481</v>
      </c>
      <c r="C68" s="6">
        <v>3018448100</v>
      </c>
      <c r="D68" s="29" t="s">
        <v>351</v>
      </c>
      <c r="E68" s="11" t="s">
        <v>371</v>
      </c>
      <c r="F68" s="45">
        <v>50.82</v>
      </c>
      <c r="G68" s="23">
        <v>301</v>
      </c>
      <c r="H68" s="48">
        <v>0</v>
      </c>
      <c r="I68" s="6">
        <v>0</v>
      </c>
      <c r="J68" s="8">
        <f t="shared" si="97"/>
        <v>22.022000000000002</v>
      </c>
      <c r="K68" s="24" t="s">
        <v>386</v>
      </c>
      <c r="L68" s="3">
        <v>16.94</v>
      </c>
      <c r="M68" s="3">
        <v>14.97</v>
      </c>
      <c r="N68" s="17">
        <f>20.26*1.8</f>
        <v>36.468</v>
      </c>
      <c r="O68" s="8">
        <f t="shared" si="98"/>
        <v>16.94</v>
      </c>
      <c r="P68" s="7">
        <f t="shared" si="132"/>
        <v>33.033</v>
      </c>
      <c r="Q68" s="1">
        <f t="shared" si="99"/>
        <v>16.94</v>
      </c>
      <c r="R68" s="4">
        <f t="shared" si="100"/>
        <v>18.634000000000004</v>
      </c>
      <c r="S68" s="1">
        <f t="shared" si="101"/>
        <v>16.94</v>
      </c>
      <c r="T68" s="1">
        <v>25.17</v>
      </c>
      <c r="U68" s="27">
        <f>23.6700000762939*3.14</f>
        <v>74.32380023956284</v>
      </c>
      <c r="V68" s="3">
        <f t="shared" si="102"/>
        <v>16.94</v>
      </c>
      <c r="W68" s="3">
        <f t="shared" si="103"/>
        <v>16.94</v>
      </c>
      <c r="X68" s="3">
        <f t="shared" si="104"/>
        <v>16.94</v>
      </c>
      <c r="Y68" s="3">
        <v>24.78</v>
      </c>
      <c r="Z68" s="3">
        <f t="shared" si="105"/>
        <v>16.093</v>
      </c>
      <c r="AA68" s="3">
        <f t="shared" si="106"/>
        <v>16.093</v>
      </c>
      <c r="AB68" s="3">
        <f t="shared" si="107"/>
        <v>16.94</v>
      </c>
      <c r="AC68" s="4">
        <f t="shared" si="108"/>
        <v>17.787000000000003</v>
      </c>
      <c r="AD68" s="3">
        <f t="shared" si="109"/>
        <v>16.94</v>
      </c>
      <c r="AE68" s="3">
        <f t="shared" si="110"/>
        <v>16.94</v>
      </c>
      <c r="AF68" s="3">
        <f t="shared" si="111"/>
        <v>15.584800000000001</v>
      </c>
      <c r="AG68" s="4">
        <f t="shared" si="112"/>
        <v>35.574</v>
      </c>
      <c r="AH68" s="8">
        <f t="shared" si="94"/>
        <v>16.94</v>
      </c>
      <c r="AI68" s="8">
        <f t="shared" si="85"/>
        <v>16.94</v>
      </c>
      <c r="AJ68" s="4">
        <f t="shared" si="113"/>
        <v>23.038400000000003</v>
      </c>
      <c r="AK68" s="1">
        <f t="shared" si="114"/>
        <v>16.94</v>
      </c>
      <c r="AL68" s="1">
        <f t="shared" si="115"/>
        <v>16.94</v>
      </c>
      <c r="AM68" s="2">
        <f t="shared" si="116"/>
        <v>16.94</v>
      </c>
      <c r="AN68" s="2">
        <f t="shared" si="117"/>
        <v>16.94</v>
      </c>
      <c r="AO68" s="3">
        <f t="shared" si="118"/>
        <v>14.97</v>
      </c>
      <c r="AP68" s="3">
        <f t="shared" si="133"/>
        <v>16.94</v>
      </c>
      <c r="AQ68" s="7">
        <f t="shared" si="119"/>
        <v>25.41</v>
      </c>
      <c r="AR68" s="1">
        <f t="shared" si="86"/>
        <v>37.425000000000004</v>
      </c>
      <c r="AS68" s="1">
        <f t="shared" si="120"/>
        <v>16.94</v>
      </c>
      <c r="AT68" s="3">
        <f t="shared" si="121"/>
        <v>20.328000000000003</v>
      </c>
      <c r="AU68" s="3">
        <f t="shared" si="96"/>
        <v>16.467000000000002</v>
      </c>
      <c r="AV68" s="1">
        <f t="shared" si="122"/>
        <v>16.94</v>
      </c>
      <c r="AW68" s="4">
        <f t="shared" si="74"/>
        <v>16.093</v>
      </c>
      <c r="AX68" s="3" t="str">
        <f t="shared" si="123"/>
        <v>14.91 Per Unit</v>
      </c>
      <c r="AY68" s="3">
        <f t="shared" si="124"/>
        <v>16.94</v>
      </c>
      <c r="AZ68" s="1">
        <f t="shared" si="87"/>
        <v>16.94</v>
      </c>
      <c r="BA68" s="3">
        <f t="shared" si="88"/>
        <v>16.94</v>
      </c>
      <c r="BB68" s="3">
        <f t="shared" si="89"/>
        <v>16.94</v>
      </c>
      <c r="BC68" s="3">
        <f t="shared" si="90"/>
        <v>18.634000000000004</v>
      </c>
      <c r="BD68" s="3">
        <f t="shared" si="91"/>
        <v>15.246000000000002</v>
      </c>
      <c r="BE68" s="3">
        <f t="shared" si="125"/>
        <v>43.196999999999996</v>
      </c>
      <c r="BF68" s="1">
        <f t="shared" si="126"/>
        <v>16.94</v>
      </c>
      <c r="BG68" s="8" t="str">
        <f t="shared" si="127"/>
        <v>16.09 Per Unit</v>
      </c>
      <c r="BH68" s="4">
        <f t="shared" si="134"/>
        <v>20.328</v>
      </c>
      <c r="BI68" s="1">
        <f t="shared" si="135"/>
        <v>16.94</v>
      </c>
      <c r="BJ68" s="3">
        <f t="shared" si="128"/>
        <v>16.093</v>
      </c>
      <c r="BK68" s="1">
        <f t="shared" si="129"/>
        <v>16.94</v>
      </c>
      <c r="BL68" s="3">
        <v>15.246000000000002</v>
      </c>
      <c r="BM68" s="8">
        <f t="shared" si="130"/>
        <v>16.94</v>
      </c>
      <c r="BN68" s="3">
        <f>MIN(N68:BM68:BM68)</f>
        <v>14.97</v>
      </c>
      <c r="BO68" s="3">
        <f t="shared" si="131"/>
        <v>74.32380023956284</v>
      </c>
    </row>
    <row r="69" spans="1:67" ht="19.5" customHeight="1">
      <c r="A69" s="10">
        <f t="shared" si="44"/>
        <v>68</v>
      </c>
      <c r="B69" s="23">
        <v>80164</v>
      </c>
      <c r="C69" s="6">
        <v>3018016400</v>
      </c>
      <c r="D69" s="29" t="s">
        <v>23</v>
      </c>
      <c r="E69" s="11" t="s">
        <v>371</v>
      </c>
      <c r="F69" s="45">
        <v>40.62</v>
      </c>
      <c r="G69" s="23">
        <v>301</v>
      </c>
      <c r="H69" s="48">
        <v>0</v>
      </c>
      <c r="I69" s="6">
        <v>0</v>
      </c>
      <c r="J69" s="8">
        <f t="shared" si="97"/>
        <v>17.602</v>
      </c>
      <c r="K69" s="24" t="s">
        <v>386</v>
      </c>
      <c r="L69" s="4">
        <v>13.54</v>
      </c>
      <c r="M69" s="3">
        <v>12.04</v>
      </c>
      <c r="N69" s="17">
        <f>16.2*1.8</f>
        <v>29.16</v>
      </c>
      <c r="O69" s="8">
        <f t="shared" si="98"/>
        <v>13.54</v>
      </c>
      <c r="P69" s="7">
        <f t="shared" si="132"/>
        <v>26.403</v>
      </c>
      <c r="Q69" s="1">
        <f t="shared" si="99"/>
        <v>13.54</v>
      </c>
      <c r="R69" s="4">
        <f t="shared" si="100"/>
        <v>14.894</v>
      </c>
      <c r="S69" s="1">
        <f t="shared" si="101"/>
        <v>13.54</v>
      </c>
      <c r="T69" s="1">
        <v>20.12</v>
      </c>
      <c r="U69" s="27">
        <f>18.9300003051757*3.14</f>
        <v>59.4402009582517</v>
      </c>
      <c r="V69" s="3">
        <f t="shared" si="102"/>
        <v>13.54</v>
      </c>
      <c r="W69" s="3">
        <f t="shared" si="103"/>
        <v>13.54</v>
      </c>
      <c r="X69" s="3">
        <f t="shared" si="104"/>
        <v>13.54</v>
      </c>
      <c r="Y69" s="3">
        <v>19.8</v>
      </c>
      <c r="Z69" s="3">
        <f t="shared" si="105"/>
        <v>12.862999999999998</v>
      </c>
      <c r="AA69" s="3">
        <f t="shared" si="106"/>
        <v>12.862999999999998</v>
      </c>
      <c r="AB69" s="3">
        <f t="shared" si="107"/>
        <v>13.54</v>
      </c>
      <c r="AC69" s="4">
        <f t="shared" si="108"/>
        <v>14.217</v>
      </c>
      <c r="AD69" s="3">
        <f t="shared" si="109"/>
        <v>13.54</v>
      </c>
      <c r="AE69" s="3">
        <f t="shared" si="110"/>
        <v>13.54</v>
      </c>
      <c r="AF69" s="3">
        <f t="shared" si="111"/>
        <v>12.4568</v>
      </c>
      <c r="AG69" s="4">
        <f t="shared" si="112"/>
        <v>28.433999999999997</v>
      </c>
      <c r="AH69" s="8">
        <f t="shared" si="94"/>
        <v>13.54</v>
      </c>
      <c r="AI69" s="8">
        <f t="shared" si="85"/>
        <v>13.54</v>
      </c>
      <c r="AJ69" s="4">
        <f t="shared" si="113"/>
        <v>18.4144</v>
      </c>
      <c r="AK69" s="1">
        <f t="shared" si="114"/>
        <v>13.54</v>
      </c>
      <c r="AL69" s="1">
        <f t="shared" si="115"/>
        <v>13.54</v>
      </c>
      <c r="AM69" s="2">
        <f t="shared" si="116"/>
        <v>13.54</v>
      </c>
      <c r="AN69" s="2">
        <f t="shared" si="117"/>
        <v>13.54</v>
      </c>
      <c r="AO69" s="3">
        <f t="shared" si="118"/>
        <v>12.04</v>
      </c>
      <c r="AP69" s="3">
        <f t="shared" si="133"/>
        <v>13.54</v>
      </c>
      <c r="AQ69" s="7">
        <f t="shared" si="119"/>
        <v>20.31</v>
      </c>
      <c r="AR69" s="1">
        <f t="shared" si="86"/>
        <v>30.099999999999998</v>
      </c>
      <c r="AS69" s="1">
        <f t="shared" si="120"/>
        <v>13.54</v>
      </c>
      <c r="AT69" s="3">
        <f t="shared" si="121"/>
        <v>16.248</v>
      </c>
      <c r="AU69" s="3">
        <f aca="true" t="shared" si="136" ref="AU69:AU100">M69*1.1</f>
        <v>13.244</v>
      </c>
      <c r="AV69" s="1">
        <f t="shared" si="122"/>
        <v>13.54</v>
      </c>
      <c r="AW69" s="4">
        <f t="shared" si="74"/>
        <v>12.862999999999998</v>
      </c>
      <c r="AX69" s="3" t="str">
        <f t="shared" si="123"/>
        <v>11.92 Per Unit</v>
      </c>
      <c r="AY69" s="3">
        <f t="shared" si="124"/>
        <v>13.54</v>
      </c>
      <c r="AZ69" s="1">
        <f t="shared" si="87"/>
        <v>13.54</v>
      </c>
      <c r="BA69" s="3">
        <f t="shared" si="88"/>
        <v>13.54</v>
      </c>
      <c r="BB69" s="3">
        <f t="shared" si="89"/>
        <v>13.54</v>
      </c>
      <c r="BC69" s="3">
        <f t="shared" si="90"/>
        <v>14.894</v>
      </c>
      <c r="BD69" s="3">
        <f t="shared" si="91"/>
        <v>12.186</v>
      </c>
      <c r="BE69" s="3">
        <f t="shared" si="125"/>
        <v>34.526999999999994</v>
      </c>
      <c r="BF69" s="1">
        <f t="shared" si="126"/>
        <v>13.54</v>
      </c>
      <c r="BG69" s="8" t="str">
        <f t="shared" si="127"/>
        <v>12.86 Per Unit</v>
      </c>
      <c r="BH69" s="4">
        <f t="shared" si="134"/>
        <v>16.247999999999998</v>
      </c>
      <c r="BI69" s="1">
        <f t="shared" si="135"/>
        <v>13.54</v>
      </c>
      <c r="BJ69" s="3">
        <f t="shared" si="128"/>
        <v>12.862999999999998</v>
      </c>
      <c r="BK69" s="1">
        <f t="shared" si="129"/>
        <v>13.54</v>
      </c>
      <c r="BL69" s="3">
        <v>12.186</v>
      </c>
      <c r="BM69" s="8">
        <f t="shared" si="130"/>
        <v>13.54</v>
      </c>
      <c r="BN69" s="3">
        <f>MIN(N69:BM69:BM69)</f>
        <v>12.04</v>
      </c>
      <c r="BO69" s="3">
        <f t="shared" si="131"/>
        <v>59.4402009582517</v>
      </c>
    </row>
    <row r="70" spans="1:67" ht="19.5" customHeight="1">
      <c r="A70" s="10">
        <f t="shared" si="44"/>
        <v>69</v>
      </c>
      <c r="B70" s="23">
        <v>82040</v>
      </c>
      <c r="C70" s="6">
        <v>3018204000</v>
      </c>
      <c r="D70" s="30" t="s">
        <v>352</v>
      </c>
      <c r="E70" s="11" t="s">
        <v>371</v>
      </c>
      <c r="F70" s="45">
        <v>14.85</v>
      </c>
      <c r="G70" s="23">
        <v>301</v>
      </c>
      <c r="H70" s="48">
        <v>0</v>
      </c>
      <c r="I70" s="6">
        <v>0</v>
      </c>
      <c r="J70" s="8">
        <f t="shared" si="97"/>
        <v>6.4350000000000005</v>
      </c>
      <c r="K70" s="24" t="s">
        <v>386</v>
      </c>
      <c r="L70" s="4">
        <v>4.95</v>
      </c>
      <c r="M70" s="3">
        <v>4.02</v>
      </c>
      <c r="N70" s="17">
        <f>5.92*1.8</f>
        <v>10.656</v>
      </c>
      <c r="O70" s="8">
        <f t="shared" si="98"/>
        <v>4.95</v>
      </c>
      <c r="P70" s="7">
        <f t="shared" si="132"/>
        <v>9.6525</v>
      </c>
      <c r="Q70" s="1">
        <f t="shared" si="99"/>
        <v>4.95</v>
      </c>
      <c r="R70" s="4">
        <f t="shared" si="100"/>
        <v>5.445</v>
      </c>
      <c r="S70" s="1">
        <f t="shared" si="101"/>
        <v>4.95</v>
      </c>
      <c r="T70" s="1">
        <v>7.36</v>
      </c>
      <c r="U70" s="27">
        <f>6.92000007629394*3.14</f>
        <v>21.728800239562972</v>
      </c>
      <c r="V70" s="3">
        <f t="shared" si="102"/>
        <v>4.95</v>
      </c>
      <c r="W70" s="3">
        <f t="shared" si="103"/>
        <v>4.95</v>
      </c>
      <c r="X70" s="3">
        <f t="shared" si="104"/>
        <v>4.95</v>
      </c>
      <c r="Y70" s="3">
        <v>7.25</v>
      </c>
      <c r="Z70" s="3">
        <f t="shared" si="105"/>
        <v>4.7025</v>
      </c>
      <c r="AA70" s="3">
        <f t="shared" si="106"/>
        <v>4.7025</v>
      </c>
      <c r="AB70" s="3">
        <f t="shared" si="107"/>
        <v>4.95</v>
      </c>
      <c r="AC70" s="4">
        <f t="shared" si="108"/>
        <v>5.197500000000001</v>
      </c>
      <c r="AD70" s="3">
        <f t="shared" si="109"/>
        <v>4.95</v>
      </c>
      <c r="AE70" s="3">
        <f t="shared" si="110"/>
        <v>4.95</v>
      </c>
      <c r="AF70" s="3">
        <f t="shared" si="111"/>
        <v>4.554</v>
      </c>
      <c r="AG70" s="4">
        <f t="shared" si="112"/>
        <v>10.395</v>
      </c>
      <c r="AH70" s="8">
        <f t="shared" si="94"/>
        <v>4.95</v>
      </c>
      <c r="AI70" s="8">
        <f t="shared" si="85"/>
        <v>4.95</v>
      </c>
      <c r="AJ70" s="4">
        <f t="shared" si="113"/>
        <v>6.732000000000001</v>
      </c>
      <c r="AK70" s="1">
        <f t="shared" si="114"/>
        <v>4.95</v>
      </c>
      <c r="AL70" s="1">
        <f t="shared" si="115"/>
        <v>4.95</v>
      </c>
      <c r="AM70" s="2">
        <f t="shared" si="116"/>
        <v>4.95</v>
      </c>
      <c r="AN70" s="2">
        <f t="shared" si="117"/>
        <v>4.95</v>
      </c>
      <c r="AO70" s="3">
        <f t="shared" si="118"/>
        <v>4.02</v>
      </c>
      <c r="AP70" s="3">
        <f t="shared" si="133"/>
        <v>4.95</v>
      </c>
      <c r="AQ70" s="7">
        <f t="shared" si="119"/>
        <v>7.425</v>
      </c>
      <c r="AR70" s="1">
        <f t="shared" si="86"/>
        <v>10.049999999999999</v>
      </c>
      <c r="AS70" s="1">
        <f t="shared" si="120"/>
        <v>4.95</v>
      </c>
      <c r="AT70" s="3">
        <f t="shared" si="121"/>
        <v>5.94</v>
      </c>
      <c r="AU70" s="3">
        <f t="shared" si="136"/>
        <v>4.422</v>
      </c>
      <c r="AV70" s="1">
        <f t="shared" si="122"/>
        <v>4.95</v>
      </c>
      <c r="AW70" s="4">
        <f t="shared" si="74"/>
        <v>4.7025</v>
      </c>
      <c r="AX70" s="3" t="str">
        <f t="shared" si="123"/>
        <v>4.36 Per Unit</v>
      </c>
      <c r="AY70" s="3">
        <f t="shared" si="124"/>
        <v>4.95</v>
      </c>
      <c r="AZ70" s="1">
        <f t="shared" si="87"/>
        <v>4.95</v>
      </c>
      <c r="BA70" s="3">
        <f t="shared" si="88"/>
        <v>4.95</v>
      </c>
      <c r="BB70" s="3">
        <f t="shared" si="89"/>
        <v>4.95</v>
      </c>
      <c r="BC70" s="3">
        <f t="shared" si="90"/>
        <v>5.445</v>
      </c>
      <c r="BD70" s="3">
        <f t="shared" si="91"/>
        <v>4.455</v>
      </c>
      <c r="BE70" s="3">
        <f t="shared" si="125"/>
        <v>12.622499999999999</v>
      </c>
      <c r="BF70" s="1">
        <f t="shared" si="126"/>
        <v>4.95</v>
      </c>
      <c r="BG70" s="8" t="str">
        <f t="shared" si="127"/>
        <v>4.7 Per Unit</v>
      </c>
      <c r="BH70" s="4">
        <f t="shared" si="134"/>
        <v>5.94</v>
      </c>
      <c r="BI70" s="1">
        <f t="shared" si="135"/>
        <v>4.95</v>
      </c>
      <c r="BJ70" s="3">
        <f t="shared" si="128"/>
        <v>4.7025</v>
      </c>
      <c r="BK70" s="1">
        <f t="shared" si="129"/>
        <v>4.95</v>
      </c>
      <c r="BL70" s="3">
        <v>4.455</v>
      </c>
      <c r="BM70" s="8">
        <f t="shared" si="130"/>
        <v>4.95</v>
      </c>
      <c r="BN70" s="3">
        <f>MIN(N70:BM70:BM70)</f>
        <v>4.02</v>
      </c>
      <c r="BO70" s="3">
        <f t="shared" si="131"/>
        <v>21.728800239562972</v>
      </c>
    </row>
    <row r="71" spans="1:67" ht="19.5" customHeight="1">
      <c r="A71" s="10">
        <f t="shared" si="44"/>
        <v>70</v>
      </c>
      <c r="B71" s="23">
        <v>84425</v>
      </c>
      <c r="C71" s="6">
        <v>3018442500</v>
      </c>
      <c r="D71" s="29" t="s">
        <v>37</v>
      </c>
      <c r="E71" s="11" t="s">
        <v>371</v>
      </c>
      <c r="F71" s="45">
        <v>63.69</v>
      </c>
      <c r="G71" s="23">
        <v>301</v>
      </c>
      <c r="H71" s="48">
        <v>0</v>
      </c>
      <c r="I71" s="6">
        <v>0</v>
      </c>
      <c r="J71" s="8">
        <f t="shared" si="97"/>
        <v>27.599</v>
      </c>
      <c r="K71" s="24" t="s">
        <v>386</v>
      </c>
      <c r="L71" s="4">
        <v>21.23</v>
      </c>
      <c r="M71" s="3">
        <v>18.87</v>
      </c>
      <c r="N71" s="17">
        <f>25.4*1.8</f>
        <v>45.72</v>
      </c>
      <c r="O71" s="8">
        <f t="shared" si="98"/>
        <v>21.23</v>
      </c>
      <c r="P71" s="7">
        <f t="shared" si="132"/>
        <v>41.3985</v>
      </c>
      <c r="Q71" s="1">
        <f t="shared" si="99"/>
        <v>21.23</v>
      </c>
      <c r="R71" s="4">
        <f t="shared" si="100"/>
        <v>23.353</v>
      </c>
      <c r="S71" s="1">
        <f t="shared" si="101"/>
        <v>21.23</v>
      </c>
      <c r="T71" s="1">
        <v>26.79</v>
      </c>
      <c r="U71" s="27">
        <f>29.6700000762939*3.14</f>
        <v>93.16380023956285</v>
      </c>
      <c r="V71" s="3">
        <f t="shared" si="102"/>
        <v>21.23</v>
      </c>
      <c r="W71" s="3">
        <f t="shared" si="103"/>
        <v>21.23</v>
      </c>
      <c r="X71" s="3">
        <f t="shared" si="104"/>
        <v>21.23</v>
      </c>
      <c r="Y71" s="3">
        <v>31.05</v>
      </c>
      <c r="Z71" s="3">
        <f t="shared" si="105"/>
        <v>20.168499999999998</v>
      </c>
      <c r="AA71" s="3">
        <f t="shared" si="106"/>
        <v>20.168499999999998</v>
      </c>
      <c r="AB71" s="3">
        <f t="shared" si="107"/>
        <v>21.23</v>
      </c>
      <c r="AC71" s="4">
        <f t="shared" si="108"/>
        <v>22.291500000000003</v>
      </c>
      <c r="AD71" s="3">
        <f t="shared" si="109"/>
        <v>21.23</v>
      </c>
      <c r="AE71" s="3">
        <f t="shared" si="110"/>
        <v>21.23</v>
      </c>
      <c r="AF71" s="3">
        <f t="shared" si="111"/>
        <v>19.5316</v>
      </c>
      <c r="AG71" s="4">
        <f t="shared" si="112"/>
        <v>44.583</v>
      </c>
      <c r="AH71" s="8">
        <f t="shared" si="94"/>
        <v>21.23</v>
      </c>
      <c r="AI71" s="8">
        <f t="shared" si="85"/>
        <v>21.23</v>
      </c>
      <c r="AJ71" s="4">
        <f t="shared" si="113"/>
        <v>28.8728</v>
      </c>
      <c r="AK71" s="1">
        <f t="shared" si="114"/>
        <v>21.23</v>
      </c>
      <c r="AL71" s="1">
        <f t="shared" si="115"/>
        <v>21.23</v>
      </c>
      <c r="AM71" s="2">
        <f t="shared" si="116"/>
        <v>21.23</v>
      </c>
      <c r="AN71" s="2">
        <f t="shared" si="117"/>
        <v>21.23</v>
      </c>
      <c r="AO71" s="3">
        <f t="shared" si="118"/>
        <v>18.87</v>
      </c>
      <c r="AP71" s="3">
        <f t="shared" si="133"/>
        <v>21.23</v>
      </c>
      <c r="AQ71" s="7">
        <f t="shared" si="119"/>
        <v>31.845</v>
      </c>
      <c r="AR71" s="1">
        <f t="shared" si="86"/>
        <v>47.175000000000004</v>
      </c>
      <c r="AS71" s="1">
        <f t="shared" si="120"/>
        <v>21.23</v>
      </c>
      <c r="AT71" s="3">
        <f t="shared" si="121"/>
        <v>25.476</v>
      </c>
      <c r="AU71" s="3">
        <f t="shared" si="136"/>
        <v>20.757</v>
      </c>
      <c r="AV71" s="1">
        <f t="shared" si="122"/>
        <v>21.23</v>
      </c>
      <c r="AW71" s="4">
        <f t="shared" si="74"/>
        <v>20.168499999999998</v>
      </c>
      <c r="AX71" s="3" t="str">
        <f t="shared" si="123"/>
        <v>18.68 Per Unit</v>
      </c>
      <c r="AY71" s="3">
        <f t="shared" si="124"/>
        <v>21.23</v>
      </c>
      <c r="AZ71" s="1">
        <f t="shared" si="87"/>
        <v>21.23</v>
      </c>
      <c r="BA71" s="3">
        <f t="shared" si="88"/>
        <v>21.23</v>
      </c>
      <c r="BB71" s="3">
        <f t="shared" si="89"/>
        <v>21.23</v>
      </c>
      <c r="BC71" s="3">
        <f t="shared" si="90"/>
        <v>23.353</v>
      </c>
      <c r="BD71" s="3">
        <f t="shared" si="91"/>
        <v>19.107</v>
      </c>
      <c r="BE71" s="3">
        <f t="shared" si="125"/>
        <v>54.1365</v>
      </c>
      <c r="BF71" s="1">
        <f t="shared" si="126"/>
        <v>21.23</v>
      </c>
      <c r="BG71" s="8" t="str">
        <f t="shared" si="127"/>
        <v>20.17 Per Unit</v>
      </c>
      <c r="BH71" s="4">
        <f t="shared" si="134"/>
        <v>25.476</v>
      </c>
      <c r="BI71" s="1">
        <f t="shared" si="135"/>
        <v>21.23</v>
      </c>
      <c r="BJ71" s="3">
        <f t="shared" si="128"/>
        <v>20.168499999999998</v>
      </c>
      <c r="BK71" s="1">
        <f t="shared" si="129"/>
        <v>21.23</v>
      </c>
      <c r="BL71" s="3">
        <v>19.107</v>
      </c>
      <c r="BM71" s="8">
        <f t="shared" si="130"/>
        <v>21.23</v>
      </c>
      <c r="BN71" s="3">
        <f>MIN(N71:BM71:BM71)</f>
        <v>18.87</v>
      </c>
      <c r="BO71" s="3">
        <f t="shared" si="131"/>
        <v>93.16380023956285</v>
      </c>
    </row>
    <row r="72" spans="1:67" ht="19.5" customHeight="1">
      <c r="A72" s="10">
        <f t="shared" si="44"/>
        <v>71</v>
      </c>
      <c r="B72" s="23">
        <v>84480</v>
      </c>
      <c r="C72" s="6">
        <v>3018448000</v>
      </c>
      <c r="D72" s="29" t="s">
        <v>353</v>
      </c>
      <c r="E72" s="11" t="s">
        <v>371</v>
      </c>
      <c r="F72" s="45">
        <v>42.54</v>
      </c>
      <c r="G72" s="23">
        <v>301</v>
      </c>
      <c r="H72" s="48">
        <v>0</v>
      </c>
      <c r="I72" s="6">
        <v>0</v>
      </c>
      <c r="J72" s="8">
        <f t="shared" si="97"/>
        <v>18.434</v>
      </c>
      <c r="K72" s="24" t="s">
        <v>386</v>
      </c>
      <c r="L72" s="4">
        <v>14.18</v>
      </c>
      <c r="M72" s="3">
        <v>12.59</v>
      </c>
      <c r="N72" s="17">
        <f>16.96*1.8</f>
        <v>30.528000000000002</v>
      </c>
      <c r="O72" s="8">
        <f t="shared" si="98"/>
        <v>14.18</v>
      </c>
      <c r="P72" s="7">
        <f t="shared" si="132"/>
        <v>27.651</v>
      </c>
      <c r="Q72" s="1">
        <f t="shared" si="99"/>
        <v>14.18</v>
      </c>
      <c r="R72" s="4">
        <f t="shared" si="100"/>
        <v>15.598</v>
      </c>
      <c r="S72" s="1">
        <f t="shared" si="101"/>
        <v>14.18</v>
      </c>
      <c r="T72" s="1">
        <v>21.05</v>
      </c>
      <c r="U72" s="27">
        <f>19.8099994659423*3.14</f>
        <v>62.20339832305883</v>
      </c>
      <c r="V72" s="3">
        <f t="shared" si="102"/>
        <v>14.18</v>
      </c>
      <c r="W72" s="3">
        <f t="shared" si="103"/>
        <v>14.18</v>
      </c>
      <c r="X72" s="3">
        <f t="shared" si="104"/>
        <v>14.18</v>
      </c>
      <c r="Y72" s="3">
        <v>20.75</v>
      </c>
      <c r="Z72" s="3">
        <f t="shared" si="105"/>
        <v>13.470999999999998</v>
      </c>
      <c r="AA72" s="3">
        <f t="shared" si="106"/>
        <v>13.470999999999998</v>
      </c>
      <c r="AB72" s="3">
        <f t="shared" si="107"/>
        <v>14.18</v>
      </c>
      <c r="AC72" s="4">
        <f t="shared" si="108"/>
        <v>14.889000000000001</v>
      </c>
      <c r="AD72" s="3">
        <f t="shared" si="109"/>
        <v>14.18</v>
      </c>
      <c r="AE72" s="3">
        <f t="shared" si="110"/>
        <v>14.18</v>
      </c>
      <c r="AF72" s="3">
        <f t="shared" si="111"/>
        <v>13.0456</v>
      </c>
      <c r="AG72" s="4">
        <f t="shared" si="112"/>
        <v>29.778</v>
      </c>
      <c r="AH72" s="8">
        <f t="shared" si="94"/>
        <v>14.18</v>
      </c>
      <c r="AI72" s="8">
        <f t="shared" si="85"/>
        <v>14.18</v>
      </c>
      <c r="AJ72" s="4">
        <f t="shared" si="113"/>
        <v>19.2848</v>
      </c>
      <c r="AK72" s="1">
        <f t="shared" si="114"/>
        <v>14.18</v>
      </c>
      <c r="AL72" s="1">
        <f t="shared" si="115"/>
        <v>14.18</v>
      </c>
      <c r="AM72" s="2">
        <f t="shared" si="116"/>
        <v>14.18</v>
      </c>
      <c r="AN72" s="2">
        <f t="shared" si="117"/>
        <v>14.18</v>
      </c>
      <c r="AO72" s="3">
        <f t="shared" si="118"/>
        <v>12.59</v>
      </c>
      <c r="AP72" s="3">
        <f t="shared" si="133"/>
        <v>14.18</v>
      </c>
      <c r="AQ72" s="7">
        <f t="shared" si="119"/>
        <v>21.27</v>
      </c>
      <c r="AR72" s="1">
        <f t="shared" si="86"/>
        <v>31.475</v>
      </c>
      <c r="AS72" s="1">
        <f t="shared" si="120"/>
        <v>14.18</v>
      </c>
      <c r="AT72" s="3">
        <f t="shared" si="121"/>
        <v>17.016000000000002</v>
      </c>
      <c r="AU72" s="3">
        <f t="shared" si="136"/>
        <v>13.849</v>
      </c>
      <c r="AV72" s="1">
        <f t="shared" si="122"/>
        <v>14.18</v>
      </c>
      <c r="AW72" s="4">
        <f t="shared" si="74"/>
        <v>13.470999999999998</v>
      </c>
      <c r="AX72" s="3" t="str">
        <f t="shared" si="123"/>
        <v>12.48 Per Unit</v>
      </c>
      <c r="AY72" s="3">
        <f t="shared" si="124"/>
        <v>14.18</v>
      </c>
      <c r="AZ72" s="1">
        <f t="shared" si="87"/>
        <v>14.18</v>
      </c>
      <c r="BA72" s="3">
        <f t="shared" si="88"/>
        <v>14.18</v>
      </c>
      <c r="BB72" s="3">
        <f t="shared" si="89"/>
        <v>14.18</v>
      </c>
      <c r="BC72" s="3">
        <f t="shared" si="90"/>
        <v>15.598</v>
      </c>
      <c r="BD72" s="3">
        <f t="shared" si="91"/>
        <v>12.762</v>
      </c>
      <c r="BE72" s="3">
        <f t="shared" si="125"/>
        <v>36.159</v>
      </c>
      <c r="BF72" s="1">
        <f t="shared" si="126"/>
        <v>14.18</v>
      </c>
      <c r="BG72" s="8" t="str">
        <f t="shared" si="127"/>
        <v>13.47 Per Unit</v>
      </c>
      <c r="BH72" s="4">
        <f t="shared" si="134"/>
        <v>17.016</v>
      </c>
      <c r="BI72" s="1">
        <f t="shared" si="135"/>
        <v>14.18</v>
      </c>
      <c r="BJ72" s="3">
        <f t="shared" si="128"/>
        <v>13.470999999999998</v>
      </c>
      <c r="BK72" s="1">
        <f t="shared" si="129"/>
        <v>14.18</v>
      </c>
      <c r="BL72" s="3">
        <v>12.762</v>
      </c>
      <c r="BM72" s="8">
        <f t="shared" si="130"/>
        <v>14.18</v>
      </c>
      <c r="BN72" s="3">
        <f>MIN(N72:BM72:BM72)</f>
        <v>12.59</v>
      </c>
      <c r="BO72" s="3">
        <f t="shared" si="131"/>
        <v>62.20339832305883</v>
      </c>
    </row>
    <row r="73" spans="1:67" ht="19.5" customHeight="1">
      <c r="A73" s="10">
        <f t="shared" si="44"/>
        <v>72</v>
      </c>
      <c r="B73" s="23">
        <v>86225</v>
      </c>
      <c r="C73" s="6">
        <v>3028622500</v>
      </c>
      <c r="D73" s="29" t="s">
        <v>35</v>
      </c>
      <c r="E73" s="11" t="s">
        <v>371</v>
      </c>
      <c r="F73" s="45">
        <v>41.22</v>
      </c>
      <c r="G73" s="23">
        <v>302</v>
      </c>
      <c r="H73" s="48">
        <v>0</v>
      </c>
      <c r="I73" s="6">
        <v>0</v>
      </c>
      <c r="J73" s="8">
        <f t="shared" si="97"/>
        <v>17.862000000000002</v>
      </c>
      <c r="K73" s="24" t="s">
        <v>386</v>
      </c>
      <c r="L73" s="4">
        <v>13.74</v>
      </c>
      <c r="M73" s="3">
        <v>12.21</v>
      </c>
      <c r="N73" s="17">
        <f>16.43*1.8</f>
        <v>29.574</v>
      </c>
      <c r="O73" s="8">
        <f t="shared" si="98"/>
        <v>13.74</v>
      </c>
      <c r="P73" s="7">
        <f t="shared" si="132"/>
        <v>26.793</v>
      </c>
      <c r="Q73" s="1">
        <f t="shared" si="99"/>
        <v>13.74</v>
      </c>
      <c r="R73" s="4">
        <f t="shared" si="100"/>
        <v>15.114</v>
      </c>
      <c r="S73" s="1">
        <f t="shared" si="101"/>
        <v>13.74</v>
      </c>
      <c r="T73" s="1">
        <v>20.41</v>
      </c>
      <c r="U73" s="27">
        <f>19.2000007629394*3.14</f>
        <v>60.28800239562972</v>
      </c>
      <c r="V73" s="3">
        <f t="shared" si="102"/>
        <v>13.74</v>
      </c>
      <c r="W73" s="3">
        <f t="shared" si="103"/>
        <v>13.74</v>
      </c>
      <c r="X73" s="3">
        <f t="shared" si="104"/>
        <v>13.74</v>
      </c>
      <c r="Y73" s="3">
        <v>20.1</v>
      </c>
      <c r="Z73" s="3">
        <f t="shared" si="105"/>
        <v>13.052999999999999</v>
      </c>
      <c r="AA73" s="3">
        <f t="shared" si="106"/>
        <v>13.052999999999999</v>
      </c>
      <c r="AB73" s="3">
        <f t="shared" si="107"/>
        <v>13.74</v>
      </c>
      <c r="AC73" s="4">
        <f t="shared" si="108"/>
        <v>14.427000000000001</v>
      </c>
      <c r="AD73" s="3">
        <f t="shared" si="109"/>
        <v>13.74</v>
      </c>
      <c r="AE73" s="3">
        <f t="shared" si="110"/>
        <v>13.74</v>
      </c>
      <c r="AF73" s="3">
        <f t="shared" si="111"/>
        <v>12.6408</v>
      </c>
      <c r="AG73" s="4">
        <f t="shared" si="112"/>
        <v>28.853999999999996</v>
      </c>
      <c r="AH73" s="8">
        <f t="shared" si="94"/>
        <v>13.74</v>
      </c>
      <c r="AI73" s="8">
        <f t="shared" si="85"/>
        <v>13.74</v>
      </c>
      <c r="AJ73" s="4">
        <f t="shared" si="113"/>
        <v>18.686400000000003</v>
      </c>
      <c r="AK73" s="1">
        <f t="shared" si="114"/>
        <v>13.74</v>
      </c>
      <c r="AL73" s="1">
        <f t="shared" si="115"/>
        <v>13.74</v>
      </c>
      <c r="AM73" s="2">
        <f t="shared" si="116"/>
        <v>13.74</v>
      </c>
      <c r="AN73" s="2">
        <f t="shared" si="117"/>
        <v>13.74</v>
      </c>
      <c r="AO73" s="3">
        <f t="shared" si="118"/>
        <v>12.21</v>
      </c>
      <c r="AP73" s="3">
        <f t="shared" si="133"/>
        <v>13.74</v>
      </c>
      <c r="AQ73" s="7">
        <f t="shared" si="119"/>
        <v>20.61</v>
      </c>
      <c r="AR73" s="1">
        <f t="shared" si="86"/>
        <v>30.525000000000002</v>
      </c>
      <c r="AS73" s="1">
        <f t="shared" si="120"/>
        <v>13.74</v>
      </c>
      <c r="AT73" s="3">
        <f t="shared" si="121"/>
        <v>16.488</v>
      </c>
      <c r="AU73" s="3">
        <f t="shared" si="136"/>
        <v>13.431000000000003</v>
      </c>
      <c r="AV73" s="1">
        <f t="shared" si="122"/>
        <v>13.74</v>
      </c>
      <c r="AW73" s="4">
        <f t="shared" si="74"/>
        <v>13.052999999999999</v>
      </c>
      <c r="AX73" s="3" t="str">
        <f t="shared" si="123"/>
        <v>12.09 Per Unit</v>
      </c>
      <c r="AY73" s="3">
        <f t="shared" si="124"/>
        <v>13.74</v>
      </c>
      <c r="AZ73" s="1">
        <f t="shared" si="87"/>
        <v>13.74</v>
      </c>
      <c r="BA73" s="3">
        <f t="shared" si="88"/>
        <v>13.74</v>
      </c>
      <c r="BB73" s="3">
        <f t="shared" si="89"/>
        <v>13.74</v>
      </c>
      <c r="BC73" s="3">
        <f t="shared" si="90"/>
        <v>15.114</v>
      </c>
      <c r="BD73" s="3">
        <f t="shared" si="91"/>
        <v>12.366</v>
      </c>
      <c r="BE73" s="3">
        <f t="shared" si="125"/>
        <v>35.037</v>
      </c>
      <c r="BF73" s="1">
        <f t="shared" si="126"/>
        <v>13.74</v>
      </c>
      <c r="BG73" s="8" t="str">
        <f t="shared" si="127"/>
        <v>13.05 Per Unit</v>
      </c>
      <c r="BH73" s="4">
        <f t="shared" si="134"/>
        <v>16.488</v>
      </c>
      <c r="BI73" s="1">
        <f t="shared" si="135"/>
        <v>13.74</v>
      </c>
      <c r="BJ73" s="3">
        <f t="shared" si="128"/>
        <v>13.052999999999999</v>
      </c>
      <c r="BK73" s="1">
        <f t="shared" si="129"/>
        <v>13.74</v>
      </c>
      <c r="BL73" s="3">
        <v>12.366</v>
      </c>
      <c r="BM73" s="8">
        <f t="shared" si="130"/>
        <v>13.74</v>
      </c>
      <c r="BN73" s="3">
        <f>MIN(N73:BM73:BM73)</f>
        <v>12.21</v>
      </c>
      <c r="BO73" s="3">
        <f t="shared" si="131"/>
        <v>60.28800239562972</v>
      </c>
    </row>
    <row r="74" spans="1:67" ht="19.5" customHeight="1">
      <c r="A74" s="10">
        <f aca="true" t="shared" si="137" ref="A74:A137">A73+1</f>
        <v>73</v>
      </c>
      <c r="B74" s="6">
        <v>86850</v>
      </c>
      <c r="C74" s="6">
        <v>3008685000</v>
      </c>
      <c r="D74" s="29" t="s">
        <v>354</v>
      </c>
      <c r="E74" s="11" t="s">
        <v>371</v>
      </c>
      <c r="F74" s="45">
        <v>29.31</v>
      </c>
      <c r="G74" s="23">
        <v>300</v>
      </c>
      <c r="H74" s="48">
        <v>0</v>
      </c>
      <c r="I74" s="6">
        <v>0</v>
      </c>
      <c r="J74" s="8">
        <f t="shared" si="97"/>
        <v>12.701</v>
      </c>
      <c r="K74" s="24" t="s">
        <v>386</v>
      </c>
      <c r="L74" s="4">
        <v>9.77</v>
      </c>
      <c r="M74" s="3">
        <v>2.6</v>
      </c>
      <c r="N74" s="17">
        <f>16.91*1.8</f>
        <v>30.438000000000002</v>
      </c>
      <c r="O74" s="8">
        <f t="shared" si="98"/>
        <v>9.77</v>
      </c>
      <c r="P74" s="7">
        <f t="shared" si="132"/>
        <v>19.0515</v>
      </c>
      <c r="Q74" s="1">
        <f t="shared" si="99"/>
        <v>9.77</v>
      </c>
      <c r="R74" s="4">
        <f t="shared" si="100"/>
        <v>10.747</v>
      </c>
      <c r="S74" s="1">
        <f t="shared" si="101"/>
        <v>9.77</v>
      </c>
      <c r="T74" s="1">
        <v>16.04</v>
      </c>
      <c r="U74" s="4">
        <f>F74*0.67</f>
        <v>19.6377</v>
      </c>
      <c r="V74" s="3">
        <f t="shared" si="102"/>
        <v>9.77</v>
      </c>
      <c r="W74" s="3">
        <f t="shared" si="103"/>
        <v>9.77</v>
      </c>
      <c r="X74" s="3">
        <f t="shared" si="104"/>
        <v>9.77</v>
      </c>
      <c r="Y74" s="3">
        <v>14.3</v>
      </c>
      <c r="Z74" s="3">
        <f t="shared" si="105"/>
        <v>9.2815</v>
      </c>
      <c r="AA74" s="3">
        <f t="shared" si="106"/>
        <v>9.2815</v>
      </c>
      <c r="AB74" s="3">
        <f t="shared" si="107"/>
        <v>9.77</v>
      </c>
      <c r="AC74" s="4">
        <f t="shared" si="108"/>
        <v>10.2585</v>
      </c>
      <c r="AD74" s="3">
        <f t="shared" si="109"/>
        <v>9.77</v>
      </c>
      <c r="AE74" s="3">
        <f t="shared" si="110"/>
        <v>9.77</v>
      </c>
      <c r="AF74" s="3">
        <f t="shared" si="111"/>
        <v>8.9884</v>
      </c>
      <c r="AG74" s="4">
        <f t="shared" si="112"/>
        <v>20.517</v>
      </c>
      <c r="AH74" s="8">
        <f t="shared" si="94"/>
        <v>9.77</v>
      </c>
      <c r="AI74" s="8">
        <f t="shared" si="85"/>
        <v>9.77</v>
      </c>
      <c r="AJ74" s="4">
        <f t="shared" si="113"/>
        <v>13.2872</v>
      </c>
      <c r="AK74" s="1">
        <f t="shared" si="114"/>
        <v>9.77</v>
      </c>
      <c r="AL74" s="1">
        <f t="shared" si="115"/>
        <v>9.77</v>
      </c>
      <c r="AM74" s="2">
        <f t="shared" si="116"/>
        <v>9.77</v>
      </c>
      <c r="AN74" s="2">
        <f t="shared" si="117"/>
        <v>9.77</v>
      </c>
      <c r="AO74" s="3">
        <f t="shared" si="118"/>
        <v>2.6</v>
      </c>
      <c r="AP74" s="3">
        <f t="shared" si="133"/>
        <v>9.77</v>
      </c>
      <c r="AQ74" s="7">
        <f t="shared" si="119"/>
        <v>14.655</v>
      </c>
      <c r="AR74" s="1">
        <f t="shared" si="86"/>
        <v>6.5</v>
      </c>
      <c r="AS74" s="1">
        <f t="shared" si="120"/>
        <v>9.77</v>
      </c>
      <c r="AT74" s="3">
        <f t="shared" si="121"/>
        <v>11.724</v>
      </c>
      <c r="AU74" s="3">
        <f t="shared" si="136"/>
        <v>2.8600000000000003</v>
      </c>
      <c r="AV74" s="1">
        <f t="shared" si="122"/>
        <v>9.77</v>
      </c>
      <c r="AW74" s="4">
        <f t="shared" si="74"/>
        <v>9.2815</v>
      </c>
      <c r="AX74" s="3" t="str">
        <f t="shared" si="123"/>
        <v>8.6 Per Unit</v>
      </c>
      <c r="AY74" s="3">
        <f t="shared" si="124"/>
        <v>9.77</v>
      </c>
      <c r="AZ74" s="1">
        <f t="shared" si="87"/>
        <v>9.77</v>
      </c>
      <c r="BA74" s="3">
        <f t="shared" si="88"/>
        <v>9.77</v>
      </c>
      <c r="BB74" s="3">
        <f t="shared" si="89"/>
        <v>9.77</v>
      </c>
      <c r="BC74" s="3">
        <f t="shared" si="90"/>
        <v>10.747</v>
      </c>
      <c r="BD74" s="3">
        <f t="shared" si="91"/>
        <v>8.793</v>
      </c>
      <c r="BE74" s="3">
        <f t="shared" si="125"/>
        <v>24.9135</v>
      </c>
      <c r="BF74" s="1">
        <f t="shared" si="126"/>
        <v>9.77</v>
      </c>
      <c r="BG74" s="8" t="str">
        <f t="shared" si="127"/>
        <v>9.28 Per Unit</v>
      </c>
      <c r="BH74" s="4">
        <f t="shared" si="134"/>
        <v>11.723999999999998</v>
      </c>
      <c r="BI74" s="1">
        <f t="shared" si="135"/>
        <v>9.77</v>
      </c>
      <c r="BJ74" s="3">
        <f t="shared" si="128"/>
        <v>9.2815</v>
      </c>
      <c r="BK74" s="1">
        <f t="shared" si="129"/>
        <v>9.77</v>
      </c>
      <c r="BL74" s="3">
        <v>8.793</v>
      </c>
      <c r="BM74" s="8">
        <f t="shared" si="130"/>
        <v>9.77</v>
      </c>
      <c r="BN74" s="3">
        <f>MIN(N74:BM74:BM74)</f>
        <v>2.6</v>
      </c>
      <c r="BO74" s="3">
        <f t="shared" si="131"/>
        <v>30.438000000000002</v>
      </c>
    </row>
    <row r="75" spans="1:67" ht="19.5" customHeight="1">
      <c r="A75" s="10">
        <f t="shared" si="137"/>
        <v>74</v>
      </c>
      <c r="B75" s="23">
        <v>86900</v>
      </c>
      <c r="C75" s="6">
        <v>3008690000</v>
      </c>
      <c r="D75" s="29" t="s">
        <v>355</v>
      </c>
      <c r="E75" s="11" t="s">
        <v>371</v>
      </c>
      <c r="F75" s="45">
        <v>321.72</v>
      </c>
      <c r="G75" s="23">
        <v>300</v>
      </c>
      <c r="H75" s="48">
        <v>0</v>
      </c>
      <c r="I75" s="6">
        <v>0</v>
      </c>
      <c r="J75" s="8">
        <f t="shared" si="97"/>
        <v>3.8870000000000005</v>
      </c>
      <c r="K75" s="24" t="s">
        <v>386</v>
      </c>
      <c r="L75" s="4">
        <v>2.99</v>
      </c>
      <c r="M75" s="3">
        <v>2.38</v>
      </c>
      <c r="N75" s="17">
        <f>3.57*1.8</f>
        <v>6.426</v>
      </c>
      <c r="O75" s="8">
        <f t="shared" si="98"/>
        <v>2.99</v>
      </c>
      <c r="P75" s="7">
        <f t="shared" si="132"/>
        <v>209.11800000000002</v>
      </c>
      <c r="Q75" s="1">
        <f t="shared" si="99"/>
        <v>2.99</v>
      </c>
      <c r="R75" s="4">
        <f t="shared" si="100"/>
        <v>3.2890000000000006</v>
      </c>
      <c r="S75" s="1">
        <f t="shared" si="101"/>
        <v>2.99</v>
      </c>
      <c r="T75" s="1">
        <v>4.43</v>
      </c>
      <c r="U75" s="27">
        <f>4.17000007629394*3.14</f>
        <v>13.093800239562972</v>
      </c>
      <c r="V75" s="3">
        <f t="shared" si="102"/>
        <v>2.99</v>
      </c>
      <c r="W75" s="3">
        <f t="shared" si="103"/>
        <v>2.99</v>
      </c>
      <c r="X75" s="3">
        <f t="shared" si="104"/>
        <v>2.99</v>
      </c>
      <c r="Y75" s="3">
        <v>4.37</v>
      </c>
      <c r="Z75" s="3">
        <f t="shared" si="105"/>
        <v>2.8405</v>
      </c>
      <c r="AA75" s="3">
        <f t="shared" si="106"/>
        <v>2.8405</v>
      </c>
      <c r="AB75" s="3">
        <f t="shared" si="107"/>
        <v>2.99</v>
      </c>
      <c r="AC75" s="4">
        <f t="shared" si="108"/>
        <v>3.1395000000000004</v>
      </c>
      <c r="AD75" s="3">
        <f t="shared" si="109"/>
        <v>2.99</v>
      </c>
      <c r="AE75" s="3">
        <f t="shared" si="110"/>
        <v>2.99</v>
      </c>
      <c r="AF75" s="3">
        <f t="shared" si="111"/>
        <v>2.7508000000000004</v>
      </c>
      <c r="AG75" s="4">
        <f t="shared" si="112"/>
        <v>225.204</v>
      </c>
      <c r="AH75" s="8">
        <f t="shared" si="94"/>
        <v>2.99</v>
      </c>
      <c r="AI75" s="8">
        <f t="shared" si="85"/>
        <v>2.99</v>
      </c>
      <c r="AJ75" s="4">
        <f t="shared" si="113"/>
        <v>4.066400000000001</v>
      </c>
      <c r="AK75" s="1">
        <f t="shared" si="114"/>
        <v>2.99</v>
      </c>
      <c r="AL75" s="1">
        <f t="shared" si="115"/>
        <v>2.99</v>
      </c>
      <c r="AM75" s="2">
        <f t="shared" si="116"/>
        <v>2.99</v>
      </c>
      <c r="AN75" s="2">
        <f t="shared" si="117"/>
        <v>2.99</v>
      </c>
      <c r="AO75" s="3">
        <f t="shared" si="118"/>
        <v>2.38</v>
      </c>
      <c r="AP75" s="3">
        <f t="shared" si="133"/>
        <v>2.99</v>
      </c>
      <c r="AQ75" s="7">
        <f t="shared" si="119"/>
        <v>160.86</v>
      </c>
      <c r="AR75" s="1">
        <f t="shared" si="86"/>
        <v>5.949999999999999</v>
      </c>
      <c r="AS75" s="1">
        <f t="shared" si="120"/>
        <v>2.99</v>
      </c>
      <c r="AT75" s="3">
        <f t="shared" si="121"/>
        <v>128.68800000000002</v>
      </c>
      <c r="AU75" s="3">
        <f t="shared" si="136"/>
        <v>2.618</v>
      </c>
      <c r="AV75" s="1">
        <f t="shared" si="122"/>
        <v>2.99</v>
      </c>
      <c r="AW75" s="4">
        <f t="shared" si="74"/>
        <v>2.8405</v>
      </c>
      <c r="AX75" s="3" t="str">
        <f t="shared" si="123"/>
        <v>2.63 Per Unit</v>
      </c>
      <c r="AY75" s="3">
        <f t="shared" si="124"/>
        <v>2.99</v>
      </c>
      <c r="AZ75" s="1">
        <f t="shared" si="87"/>
        <v>2.99</v>
      </c>
      <c r="BA75" s="3">
        <f t="shared" si="88"/>
        <v>2.99</v>
      </c>
      <c r="BB75" s="3">
        <f t="shared" si="89"/>
        <v>2.99</v>
      </c>
      <c r="BC75" s="3">
        <f t="shared" si="90"/>
        <v>3.2890000000000006</v>
      </c>
      <c r="BD75" s="3">
        <f t="shared" si="91"/>
        <v>2.6910000000000003</v>
      </c>
      <c r="BE75" s="3">
        <f t="shared" si="125"/>
        <v>273.462</v>
      </c>
      <c r="BF75" s="1">
        <f t="shared" si="126"/>
        <v>2.99</v>
      </c>
      <c r="BG75" s="8" t="str">
        <f t="shared" si="127"/>
        <v>2.84 Per Unit</v>
      </c>
      <c r="BH75" s="4">
        <f t="shared" si="134"/>
        <v>3.588</v>
      </c>
      <c r="BI75" s="1">
        <f t="shared" si="135"/>
        <v>2.99</v>
      </c>
      <c r="BJ75" s="3">
        <f t="shared" si="128"/>
        <v>2.8405</v>
      </c>
      <c r="BK75" s="1">
        <f t="shared" si="129"/>
        <v>2.99</v>
      </c>
      <c r="BL75" s="3">
        <v>2.6910000000000003</v>
      </c>
      <c r="BM75" s="8">
        <f t="shared" si="130"/>
        <v>2.99</v>
      </c>
      <c r="BN75" s="3">
        <f>MIN(N75:BM75:BM75)</f>
        <v>2.38</v>
      </c>
      <c r="BO75" s="3">
        <f t="shared" si="131"/>
        <v>273.462</v>
      </c>
    </row>
    <row r="76" spans="1:67" ht="19.5" customHeight="1">
      <c r="A76" s="10">
        <f t="shared" si="137"/>
        <v>75</v>
      </c>
      <c r="B76" s="23">
        <v>86901</v>
      </c>
      <c r="C76" s="6">
        <v>3008690100</v>
      </c>
      <c r="D76" s="29" t="s">
        <v>356</v>
      </c>
      <c r="E76" s="11" t="s">
        <v>371</v>
      </c>
      <c r="F76" s="45">
        <v>8.97</v>
      </c>
      <c r="G76" s="23">
        <v>300</v>
      </c>
      <c r="H76" s="48">
        <v>0</v>
      </c>
      <c r="I76" s="6">
        <v>0</v>
      </c>
      <c r="J76" s="8">
        <f t="shared" si="97"/>
        <v>3.8870000000000005</v>
      </c>
      <c r="K76" s="24" t="s">
        <v>386</v>
      </c>
      <c r="L76" s="4">
        <v>2.99</v>
      </c>
      <c r="M76" s="3">
        <v>2.46</v>
      </c>
      <c r="N76" s="17">
        <f>3.57*1.8</f>
        <v>6.426</v>
      </c>
      <c r="O76" s="8">
        <f t="shared" si="98"/>
        <v>2.99</v>
      </c>
      <c r="P76" s="7">
        <f t="shared" si="132"/>
        <v>5.830500000000001</v>
      </c>
      <c r="Q76" s="1">
        <f t="shared" si="99"/>
        <v>2.99</v>
      </c>
      <c r="R76" s="4">
        <f t="shared" si="100"/>
        <v>3.2890000000000006</v>
      </c>
      <c r="S76" s="1">
        <f t="shared" si="101"/>
        <v>2.99</v>
      </c>
      <c r="T76" s="1">
        <v>9.36</v>
      </c>
      <c r="U76" s="27">
        <f>4.17*3.14</f>
        <v>13.0938</v>
      </c>
      <c r="V76" s="3">
        <f t="shared" si="102"/>
        <v>2.99</v>
      </c>
      <c r="W76" s="3">
        <f t="shared" si="103"/>
        <v>2.99</v>
      </c>
      <c r="X76" s="3">
        <f t="shared" si="104"/>
        <v>2.99</v>
      </c>
      <c r="Y76" s="3">
        <v>4.37</v>
      </c>
      <c r="Z76" s="3">
        <f t="shared" si="105"/>
        <v>2.8405</v>
      </c>
      <c r="AA76" s="3">
        <f t="shared" si="106"/>
        <v>2.8405</v>
      </c>
      <c r="AB76" s="3">
        <f t="shared" si="107"/>
        <v>2.99</v>
      </c>
      <c r="AC76" s="4">
        <f t="shared" si="108"/>
        <v>3.1395000000000004</v>
      </c>
      <c r="AD76" s="3">
        <f t="shared" si="109"/>
        <v>2.99</v>
      </c>
      <c r="AE76" s="3">
        <f t="shared" si="110"/>
        <v>2.99</v>
      </c>
      <c r="AF76" s="3">
        <f t="shared" si="111"/>
        <v>2.7508000000000004</v>
      </c>
      <c r="AG76" s="4">
        <f t="shared" si="112"/>
        <v>6.279</v>
      </c>
      <c r="AH76" s="8">
        <f t="shared" si="94"/>
        <v>2.99</v>
      </c>
      <c r="AI76" s="8">
        <f t="shared" si="85"/>
        <v>2.99</v>
      </c>
      <c r="AJ76" s="4">
        <f t="shared" si="113"/>
        <v>4.066400000000001</v>
      </c>
      <c r="AK76" s="1">
        <f t="shared" si="114"/>
        <v>2.99</v>
      </c>
      <c r="AL76" s="1">
        <f t="shared" si="115"/>
        <v>2.99</v>
      </c>
      <c r="AM76" s="2">
        <f t="shared" si="116"/>
        <v>2.99</v>
      </c>
      <c r="AN76" s="2">
        <f t="shared" si="117"/>
        <v>2.99</v>
      </c>
      <c r="AO76" s="3">
        <f t="shared" si="118"/>
        <v>2.46</v>
      </c>
      <c r="AP76" s="3">
        <f t="shared" si="133"/>
        <v>2.99</v>
      </c>
      <c r="AQ76" s="7">
        <f t="shared" si="119"/>
        <v>4.485</v>
      </c>
      <c r="AR76" s="1">
        <f t="shared" si="86"/>
        <v>6.15</v>
      </c>
      <c r="AS76" s="1">
        <f t="shared" si="120"/>
        <v>2.99</v>
      </c>
      <c r="AT76" s="3">
        <f t="shared" si="121"/>
        <v>3.5880000000000005</v>
      </c>
      <c r="AU76" s="3">
        <f t="shared" si="136"/>
        <v>2.706</v>
      </c>
      <c r="AV76" s="1">
        <f t="shared" si="122"/>
        <v>2.99</v>
      </c>
      <c r="AW76" s="4">
        <f t="shared" si="74"/>
        <v>2.8405</v>
      </c>
      <c r="AX76" s="3" t="str">
        <f t="shared" si="123"/>
        <v>2.63 Per Unit</v>
      </c>
      <c r="AY76" s="3">
        <f t="shared" si="124"/>
        <v>2.99</v>
      </c>
      <c r="AZ76" s="1">
        <f t="shared" si="87"/>
        <v>2.99</v>
      </c>
      <c r="BA76" s="3">
        <f t="shared" si="88"/>
        <v>2.99</v>
      </c>
      <c r="BB76" s="3">
        <f t="shared" si="89"/>
        <v>2.99</v>
      </c>
      <c r="BC76" s="3">
        <f t="shared" si="90"/>
        <v>3.2890000000000006</v>
      </c>
      <c r="BD76" s="3">
        <f t="shared" si="91"/>
        <v>2.6910000000000003</v>
      </c>
      <c r="BE76" s="3">
        <f t="shared" si="125"/>
        <v>7.6245</v>
      </c>
      <c r="BF76" s="1">
        <f t="shared" si="126"/>
        <v>2.99</v>
      </c>
      <c r="BG76" s="8" t="str">
        <f t="shared" si="127"/>
        <v>2.84 Per Unit</v>
      </c>
      <c r="BH76" s="4">
        <f t="shared" si="134"/>
        <v>3.588</v>
      </c>
      <c r="BI76" s="1">
        <f t="shared" si="135"/>
        <v>2.99</v>
      </c>
      <c r="BJ76" s="3">
        <f t="shared" si="128"/>
        <v>2.8405</v>
      </c>
      <c r="BK76" s="1">
        <f t="shared" si="129"/>
        <v>2.99</v>
      </c>
      <c r="BL76" s="3">
        <v>2.6910000000000003</v>
      </c>
      <c r="BM76" s="8">
        <f t="shared" si="130"/>
        <v>2.99</v>
      </c>
      <c r="BN76" s="3">
        <f>MIN(N76:BM76:BM76)</f>
        <v>2.46</v>
      </c>
      <c r="BO76" s="3">
        <f t="shared" si="131"/>
        <v>13.0938</v>
      </c>
    </row>
    <row r="77" spans="1:67" ht="19.5" customHeight="1">
      <c r="A77" s="10">
        <f t="shared" si="137"/>
        <v>76</v>
      </c>
      <c r="B77" s="6">
        <v>87040</v>
      </c>
      <c r="C77" s="6">
        <v>3068704000</v>
      </c>
      <c r="D77" s="30" t="s">
        <v>205</v>
      </c>
      <c r="E77" s="11" t="s">
        <v>371</v>
      </c>
      <c r="F77" s="45">
        <v>30.96</v>
      </c>
      <c r="G77" s="23">
        <v>306</v>
      </c>
      <c r="H77" s="48">
        <v>0</v>
      </c>
      <c r="I77" s="6">
        <v>0</v>
      </c>
      <c r="J77" s="8">
        <f t="shared" si="97"/>
        <v>13.416</v>
      </c>
      <c r="K77" s="24" t="s">
        <v>386</v>
      </c>
      <c r="L77" s="4">
        <v>10.32</v>
      </c>
      <c r="M77" s="3">
        <v>8.98</v>
      </c>
      <c r="N77" s="17">
        <f>12.35*1.8</f>
        <v>22.23</v>
      </c>
      <c r="O77" s="8">
        <f t="shared" si="98"/>
        <v>10.32</v>
      </c>
      <c r="P77" s="7">
        <f t="shared" si="132"/>
        <v>20.124000000000002</v>
      </c>
      <c r="Q77" s="1">
        <f t="shared" si="99"/>
        <v>10.32</v>
      </c>
      <c r="R77" s="4">
        <f t="shared" si="100"/>
        <v>11.352000000000002</v>
      </c>
      <c r="S77" s="1">
        <f t="shared" si="101"/>
        <v>10.32</v>
      </c>
      <c r="T77" s="1">
        <v>15.33</v>
      </c>
      <c r="U77" s="27">
        <f>14.4200000762939*3.14</f>
        <v>45.27880023956285</v>
      </c>
      <c r="V77" s="3">
        <f t="shared" si="102"/>
        <v>10.32</v>
      </c>
      <c r="W77" s="3">
        <f t="shared" si="103"/>
        <v>10.32</v>
      </c>
      <c r="X77" s="3">
        <f t="shared" si="104"/>
        <v>10.32</v>
      </c>
      <c r="Y77" s="3">
        <v>15.11</v>
      </c>
      <c r="Z77" s="3">
        <f t="shared" si="105"/>
        <v>9.804</v>
      </c>
      <c r="AA77" s="3">
        <f t="shared" si="106"/>
        <v>9.804</v>
      </c>
      <c r="AB77" s="3">
        <f t="shared" si="107"/>
        <v>10.32</v>
      </c>
      <c r="AC77" s="4">
        <f t="shared" si="108"/>
        <v>10.836</v>
      </c>
      <c r="AD77" s="3">
        <f t="shared" si="109"/>
        <v>10.32</v>
      </c>
      <c r="AE77" s="3">
        <f t="shared" si="110"/>
        <v>10.32</v>
      </c>
      <c r="AF77" s="3">
        <f t="shared" si="111"/>
        <v>9.4944</v>
      </c>
      <c r="AG77" s="4">
        <f t="shared" si="112"/>
        <v>21.672</v>
      </c>
      <c r="AH77" s="8">
        <f t="shared" si="94"/>
        <v>10.32</v>
      </c>
      <c r="AI77" s="8">
        <f t="shared" si="85"/>
        <v>10.32</v>
      </c>
      <c r="AJ77" s="4">
        <f t="shared" si="113"/>
        <v>14.035200000000001</v>
      </c>
      <c r="AK77" s="1">
        <f t="shared" si="114"/>
        <v>10.32</v>
      </c>
      <c r="AL77" s="1">
        <f t="shared" si="115"/>
        <v>10.32</v>
      </c>
      <c r="AM77" s="2">
        <f t="shared" si="116"/>
        <v>10.32</v>
      </c>
      <c r="AN77" s="2">
        <f t="shared" si="117"/>
        <v>10.32</v>
      </c>
      <c r="AO77" s="3">
        <f t="shared" si="118"/>
        <v>8.98</v>
      </c>
      <c r="AP77" s="3">
        <f t="shared" si="133"/>
        <v>10.32</v>
      </c>
      <c r="AQ77" s="7">
        <f t="shared" si="119"/>
        <v>15.48</v>
      </c>
      <c r="AR77" s="1">
        <f t="shared" si="86"/>
        <v>22.450000000000003</v>
      </c>
      <c r="AS77" s="1">
        <f t="shared" si="120"/>
        <v>10.32</v>
      </c>
      <c r="AT77" s="3">
        <f t="shared" si="121"/>
        <v>12.384</v>
      </c>
      <c r="AU77" s="3">
        <f t="shared" si="136"/>
        <v>9.878000000000002</v>
      </c>
      <c r="AV77" s="1">
        <f t="shared" si="122"/>
        <v>10.32</v>
      </c>
      <c r="AW77" s="2">
        <f>F77*0.5</f>
        <v>15.48</v>
      </c>
      <c r="AX77" s="3" t="str">
        <f t="shared" si="123"/>
        <v>9.08 Per Unit</v>
      </c>
      <c r="AY77" s="3">
        <f t="shared" si="124"/>
        <v>10.32</v>
      </c>
      <c r="AZ77" s="1">
        <f t="shared" si="87"/>
        <v>10.32</v>
      </c>
      <c r="BA77" s="3">
        <f t="shared" si="88"/>
        <v>10.32</v>
      </c>
      <c r="BB77" s="3">
        <f t="shared" si="89"/>
        <v>10.32</v>
      </c>
      <c r="BC77" s="3">
        <f t="shared" si="90"/>
        <v>11.352000000000002</v>
      </c>
      <c r="BD77" s="3">
        <f t="shared" si="91"/>
        <v>9.288</v>
      </c>
      <c r="BE77" s="3">
        <f t="shared" si="125"/>
        <v>26.316</v>
      </c>
      <c r="BF77" s="1">
        <f t="shared" si="126"/>
        <v>10.32</v>
      </c>
      <c r="BG77" s="8" t="str">
        <f t="shared" si="127"/>
        <v>9.8 Per Unit</v>
      </c>
      <c r="BH77" s="4">
        <f t="shared" si="134"/>
        <v>12.384</v>
      </c>
      <c r="BI77" s="1">
        <f t="shared" si="135"/>
        <v>10.32</v>
      </c>
      <c r="BJ77" s="3">
        <f t="shared" si="128"/>
        <v>9.804</v>
      </c>
      <c r="BK77" s="1">
        <f t="shared" si="129"/>
        <v>10.32</v>
      </c>
      <c r="BL77" s="3">
        <v>9.288</v>
      </c>
      <c r="BM77" s="8">
        <f t="shared" si="130"/>
        <v>10.32</v>
      </c>
      <c r="BN77" s="3">
        <f>MIN(N77:BM77:BM77)</f>
        <v>8.98</v>
      </c>
      <c r="BO77" s="3">
        <f t="shared" si="131"/>
        <v>45.27880023956285</v>
      </c>
    </row>
    <row r="78" spans="1:67" ht="19.5" customHeight="1">
      <c r="A78" s="10">
        <f t="shared" si="137"/>
        <v>77</v>
      </c>
      <c r="B78" s="6">
        <v>80048</v>
      </c>
      <c r="C78" s="6">
        <v>3018004800</v>
      </c>
      <c r="D78" s="29" t="s">
        <v>2</v>
      </c>
      <c r="E78" s="11" t="s">
        <v>371</v>
      </c>
      <c r="F78" s="45">
        <v>25.38</v>
      </c>
      <c r="G78" s="6">
        <v>300</v>
      </c>
      <c r="H78" s="48">
        <v>0</v>
      </c>
      <c r="I78" s="6">
        <v>0</v>
      </c>
      <c r="J78" s="8">
        <f t="shared" si="97"/>
        <v>10.998000000000001</v>
      </c>
      <c r="K78" s="24" t="s">
        <v>386</v>
      </c>
      <c r="L78" s="3">
        <v>8.46</v>
      </c>
      <c r="M78" s="3">
        <v>7.27</v>
      </c>
      <c r="N78" s="17">
        <f>10.12*1.8</f>
        <v>18.215999999999998</v>
      </c>
      <c r="O78" s="8">
        <f t="shared" si="98"/>
        <v>8.46</v>
      </c>
      <c r="P78" s="7">
        <f t="shared" si="132"/>
        <v>16.497</v>
      </c>
      <c r="Q78" s="1">
        <f t="shared" si="99"/>
        <v>8.46</v>
      </c>
      <c r="R78" s="4">
        <f t="shared" si="100"/>
        <v>9.306000000000001</v>
      </c>
      <c r="S78" s="1">
        <f t="shared" si="101"/>
        <v>8.46</v>
      </c>
      <c r="T78" s="1">
        <v>12.57</v>
      </c>
      <c r="U78" s="27">
        <f>11.829999923706*3.14</f>
        <v>37.14619976043684</v>
      </c>
      <c r="V78" s="3">
        <f t="shared" si="102"/>
        <v>8.46</v>
      </c>
      <c r="W78" s="3">
        <f t="shared" si="103"/>
        <v>8.46</v>
      </c>
      <c r="X78" s="3">
        <f t="shared" si="104"/>
        <v>8.46</v>
      </c>
      <c r="Y78" s="3">
        <v>12.38</v>
      </c>
      <c r="Z78" s="3">
        <f t="shared" si="105"/>
        <v>8.037</v>
      </c>
      <c r="AA78" s="3">
        <f t="shared" si="106"/>
        <v>8.037</v>
      </c>
      <c r="AB78" s="3">
        <f t="shared" si="107"/>
        <v>8.46</v>
      </c>
      <c r="AC78" s="4">
        <f t="shared" si="108"/>
        <v>8.883000000000001</v>
      </c>
      <c r="AD78" s="3">
        <f t="shared" si="109"/>
        <v>8.46</v>
      </c>
      <c r="AE78" s="3">
        <f t="shared" si="110"/>
        <v>8.46</v>
      </c>
      <c r="AF78" s="3">
        <f t="shared" si="111"/>
        <v>7.783200000000001</v>
      </c>
      <c r="AG78" s="4">
        <f t="shared" si="112"/>
        <v>17.766</v>
      </c>
      <c r="AH78" s="8">
        <f t="shared" si="94"/>
        <v>8.46</v>
      </c>
      <c r="AI78" s="8">
        <f t="shared" si="85"/>
        <v>8.46</v>
      </c>
      <c r="AJ78" s="4">
        <f t="shared" si="113"/>
        <v>11.505600000000001</v>
      </c>
      <c r="AK78" s="1">
        <f t="shared" si="114"/>
        <v>8.46</v>
      </c>
      <c r="AL78" s="1">
        <f t="shared" si="115"/>
        <v>8.46</v>
      </c>
      <c r="AM78" s="2">
        <f t="shared" si="116"/>
        <v>8.46</v>
      </c>
      <c r="AN78" s="2">
        <f t="shared" si="117"/>
        <v>8.46</v>
      </c>
      <c r="AO78" s="3">
        <f t="shared" si="118"/>
        <v>7.27</v>
      </c>
      <c r="AP78" s="3">
        <f t="shared" si="133"/>
        <v>8.46</v>
      </c>
      <c r="AQ78" s="7">
        <f t="shared" si="119"/>
        <v>12.69</v>
      </c>
      <c r="AR78" s="1">
        <f t="shared" si="86"/>
        <v>18.174999999999997</v>
      </c>
      <c r="AS78" s="1">
        <f t="shared" si="120"/>
        <v>8.46</v>
      </c>
      <c r="AT78" s="3">
        <f t="shared" si="121"/>
        <v>10.152000000000001</v>
      </c>
      <c r="AU78" s="1">
        <f t="shared" si="136"/>
        <v>7.997</v>
      </c>
      <c r="AV78" s="1">
        <f t="shared" si="122"/>
        <v>8.46</v>
      </c>
      <c r="AW78" s="4">
        <f aca="true" t="shared" si="138" ref="AW78:AW112">L78*0.95</f>
        <v>8.037</v>
      </c>
      <c r="AX78" s="3" t="str">
        <f t="shared" si="123"/>
        <v>7.44 Per Unit</v>
      </c>
      <c r="AY78" s="3">
        <f t="shared" si="124"/>
        <v>8.46</v>
      </c>
      <c r="AZ78" s="1">
        <f t="shared" si="87"/>
        <v>8.46</v>
      </c>
      <c r="BA78" s="3">
        <f t="shared" si="88"/>
        <v>8.46</v>
      </c>
      <c r="BB78" s="3">
        <f t="shared" si="89"/>
        <v>8.46</v>
      </c>
      <c r="BC78" s="3">
        <f t="shared" si="90"/>
        <v>9.306000000000001</v>
      </c>
      <c r="BD78" s="3">
        <f t="shared" si="91"/>
        <v>7.614000000000001</v>
      </c>
      <c r="BE78" s="3">
        <f t="shared" si="125"/>
        <v>21.572999999999997</v>
      </c>
      <c r="BF78" s="1">
        <f t="shared" si="126"/>
        <v>8.46</v>
      </c>
      <c r="BG78" s="8" t="str">
        <f t="shared" si="127"/>
        <v>8.04 Per Unit</v>
      </c>
      <c r="BH78" s="4">
        <f t="shared" si="134"/>
        <v>10.152000000000001</v>
      </c>
      <c r="BI78" s="1">
        <f t="shared" si="135"/>
        <v>8.46</v>
      </c>
      <c r="BJ78" s="3">
        <f t="shared" si="128"/>
        <v>8.037</v>
      </c>
      <c r="BK78" s="1">
        <f t="shared" si="129"/>
        <v>8.46</v>
      </c>
      <c r="BL78" s="3">
        <v>7.614000000000001</v>
      </c>
      <c r="BM78" s="8">
        <f t="shared" si="130"/>
        <v>8.46</v>
      </c>
      <c r="BN78" s="3">
        <f>MIN(N78:BM78:BM78)</f>
        <v>7.27</v>
      </c>
      <c r="BO78" s="3">
        <f t="shared" si="131"/>
        <v>37.14619976043684</v>
      </c>
    </row>
    <row r="79" spans="1:67" ht="19.5" customHeight="1">
      <c r="A79" s="10">
        <f t="shared" si="137"/>
        <v>78</v>
      </c>
      <c r="B79" s="23">
        <v>80053</v>
      </c>
      <c r="C79" s="6">
        <v>3018005300</v>
      </c>
      <c r="D79" s="29" t="s">
        <v>8</v>
      </c>
      <c r="E79" s="11" t="s">
        <v>371</v>
      </c>
      <c r="F79" s="45">
        <v>31.68</v>
      </c>
      <c r="G79" s="6">
        <v>301</v>
      </c>
      <c r="H79" s="48">
        <v>0</v>
      </c>
      <c r="I79" s="6">
        <v>0</v>
      </c>
      <c r="J79" s="8">
        <f t="shared" si="97"/>
        <v>13.728000000000002</v>
      </c>
      <c r="K79" s="24" t="s">
        <v>386</v>
      </c>
      <c r="L79" s="3">
        <v>10.56</v>
      </c>
      <c r="M79" s="3">
        <v>9.28</v>
      </c>
      <c r="N79" s="19">
        <f>12.64*1.8</f>
        <v>22.752000000000002</v>
      </c>
      <c r="O79" s="8">
        <f t="shared" si="98"/>
        <v>10.56</v>
      </c>
      <c r="P79" s="7">
        <f t="shared" si="132"/>
        <v>20.592</v>
      </c>
      <c r="Q79" s="1">
        <f t="shared" si="99"/>
        <v>10.56</v>
      </c>
      <c r="R79" s="4">
        <f t="shared" si="100"/>
        <v>11.616000000000001</v>
      </c>
      <c r="S79" s="1">
        <f t="shared" si="101"/>
        <v>10.56</v>
      </c>
      <c r="T79" s="1">
        <v>15.72</v>
      </c>
      <c r="U79" s="27">
        <f>14.7700004577636*3.14</f>
        <v>46.377801437377705</v>
      </c>
      <c r="V79" s="3">
        <f t="shared" si="102"/>
        <v>10.56</v>
      </c>
      <c r="W79" s="3">
        <f t="shared" si="103"/>
        <v>10.56</v>
      </c>
      <c r="X79" s="3">
        <f t="shared" si="104"/>
        <v>10.56</v>
      </c>
      <c r="Y79" s="3">
        <v>15.44</v>
      </c>
      <c r="Z79" s="3">
        <f t="shared" si="105"/>
        <v>10.032</v>
      </c>
      <c r="AA79" s="3">
        <f t="shared" si="106"/>
        <v>10.032</v>
      </c>
      <c r="AB79" s="3">
        <f t="shared" si="107"/>
        <v>10.56</v>
      </c>
      <c r="AC79" s="4">
        <f t="shared" si="108"/>
        <v>11.088000000000001</v>
      </c>
      <c r="AD79" s="3">
        <f t="shared" si="109"/>
        <v>10.56</v>
      </c>
      <c r="AE79" s="3">
        <f t="shared" si="110"/>
        <v>10.56</v>
      </c>
      <c r="AF79" s="3">
        <f t="shared" si="111"/>
        <v>9.715200000000001</v>
      </c>
      <c r="AG79" s="4">
        <f t="shared" si="112"/>
        <v>22.176</v>
      </c>
      <c r="AH79" s="8">
        <f t="shared" si="94"/>
        <v>10.56</v>
      </c>
      <c r="AI79" s="8">
        <f t="shared" si="85"/>
        <v>10.56</v>
      </c>
      <c r="AJ79" s="4">
        <f t="shared" si="113"/>
        <v>14.361600000000001</v>
      </c>
      <c r="AK79" s="1">
        <f t="shared" si="114"/>
        <v>10.56</v>
      </c>
      <c r="AL79" s="1">
        <f t="shared" si="115"/>
        <v>10.56</v>
      </c>
      <c r="AM79" s="2">
        <f t="shared" si="116"/>
        <v>10.56</v>
      </c>
      <c r="AN79" s="2">
        <f t="shared" si="117"/>
        <v>10.56</v>
      </c>
      <c r="AO79" s="3">
        <f t="shared" si="118"/>
        <v>9.28</v>
      </c>
      <c r="AP79" s="3">
        <f t="shared" si="133"/>
        <v>10.56</v>
      </c>
      <c r="AQ79" s="7">
        <f t="shared" si="119"/>
        <v>15.84</v>
      </c>
      <c r="AR79" s="1">
        <f t="shared" si="86"/>
        <v>23.2</v>
      </c>
      <c r="AS79" s="1">
        <f t="shared" si="120"/>
        <v>10.56</v>
      </c>
      <c r="AT79" s="3">
        <f t="shared" si="121"/>
        <v>12.672</v>
      </c>
      <c r="AU79" s="1">
        <f t="shared" si="136"/>
        <v>10.208</v>
      </c>
      <c r="AV79" s="1">
        <f t="shared" si="122"/>
        <v>10.56</v>
      </c>
      <c r="AW79" s="4">
        <f t="shared" si="138"/>
        <v>10.032</v>
      </c>
      <c r="AX79" s="3" t="str">
        <f t="shared" si="123"/>
        <v>9.29 Per Unit</v>
      </c>
      <c r="AY79" s="3">
        <f t="shared" si="124"/>
        <v>10.56</v>
      </c>
      <c r="AZ79" s="1">
        <f t="shared" si="87"/>
        <v>10.56</v>
      </c>
      <c r="BA79" s="3">
        <f t="shared" si="88"/>
        <v>10.56</v>
      </c>
      <c r="BB79" s="3">
        <f t="shared" si="89"/>
        <v>10.56</v>
      </c>
      <c r="BC79" s="3">
        <f t="shared" si="90"/>
        <v>11.616000000000001</v>
      </c>
      <c r="BD79" s="3">
        <f t="shared" si="91"/>
        <v>9.504000000000001</v>
      </c>
      <c r="BE79" s="3">
        <f t="shared" si="125"/>
        <v>26.928</v>
      </c>
      <c r="BF79" s="1">
        <f t="shared" si="126"/>
        <v>10.56</v>
      </c>
      <c r="BG79" s="8" t="str">
        <f t="shared" si="127"/>
        <v>10.03 Per Unit</v>
      </c>
      <c r="BH79" s="4">
        <f t="shared" si="134"/>
        <v>12.672</v>
      </c>
      <c r="BI79" s="1">
        <f t="shared" si="135"/>
        <v>10.56</v>
      </c>
      <c r="BJ79" s="3">
        <f t="shared" si="128"/>
        <v>10.032</v>
      </c>
      <c r="BK79" s="1">
        <f t="shared" si="129"/>
        <v>10.56</v>
      </c>
      <c r="BL79" s="3">
        <v>9.504000000000001</v>
      </c>
      <c r="BM79" s="8">
        <f t="shared" si="130"/>
        <v>10.56</v>
      </c>
      <c r="BN79" s="3">
        <f>MIN(N79:BM79:BM79)</f>
        <v>9.28</v>
      </c>
      <c r="BO79" s="3">
        <f t="shared" si="131"/>
        <v>46.377801437377705</v>
      </c>
    </row>
    <row r="80" spans="1:67" ht="19.5" customHeight="1">
      <c r="A80" s="10">
        <f t="shared" si="137"/>
        <v>79</v>
      </c>
      <c r="B80" s="23">
        <v>80061</v>
      </c>
      <c r="C80" s="6">
        <v>3018006100</v>
      </c>
      <c r="D80" s="29" t="s">
        <v>4</v>
      </c>
      <c r="E80" s="11" t="s">
        <v>371</v>
      </c>
      <c r="F80" s="45">
        <v>40.17</v>
      </c>
      <c r="G80" s="6">
        <v>301</v>
      </c>
      <c r="H80" s="48">
        <v>0</v>
      </c>
      <c r="I80" s="6">
        <v>0</v>
      </c>
      <c r="J80" s="8">
        <f t="shared" si="97"/>
        <v>17.407</v>
      </c>
      <c r="K80" s="24" t="s">
        <v>386</v>
      </c>
      <c r="L80" s="3">
        <v>13.39</v>
      </c>
      <c r="M80" s="3">
        <v>11.54</v>
      </c>
      <c r="N80" s="17">
        <f>16.02*1.8</f>
        <v>28.836</v>
      </c>
      <c r="O80" s="8">
        <f t="shared" si="98"/>
        <v>13.39</v>
      </c>
      <c r="P80" s="7">
        <f t="shared" si="132"/>
        <v>26.110500000000002</v>
      </c>
      <c r="Q80" s="1">
        <f t="shared" si="99"/>
        <v>13.39</v>
      </c>
      <c r="R80" s="4">
        <f t="shared" si="100"/>
        <v>14.729000000000001</v>
      </c>
      <c r="S80" s="1">
        <f t="shared" si="101"/>
        <v>13.39</v>
      </c>
      <c r="T80" s="1">
        <v>19.89</v>
      </c>
      <c r="U80" s="27">
        <f>18.7199993133544*3.14</f>
        <v>58.78079784393282</v>
      </c>
      <c r="V80" s="3">
        <f t="shared" si="102"/>
        <v>13.39</v>
      </c>
      <c r="W80" s="3">
        <f t="shared" si="103"/>
        <v>13.39</v>
      </c>
      <c r="X80" s="3">
        <f t="shared" si="104"/>
        <v>13.39</v>
      </c>
      <c r="Y80" s="3">
        <v>19.58</v>
      </c>
      <c r="Z80" s="3">
        <f t="shared" si="105"/>
        <v>12.7205</v>
      </c>
      <c r="AA80" s="3">
        <f t="shared" si="106"/>
        <v>12.7205</v>
      </c>
      <c r="AB80" s="3">
        <f t="shared" si="107"/>
        <v>13.39</v>
      </c>
      <c r="AC80" s="4">
        <f t="shared" si="108"/>
        <v>14.059500000000002</v>
      </c>
      <c r="AD80" s="3">
        <f t="shared" si="109"/>
        <v>13.39</v>
      </c>
      <c r="AE80" s="3">
        <f t="shared" si="110"/>
        <v>13.39</v>
      </c>
      <c r="AF80" s="3">
        <f t="shared" si="111"/>
        <v>12.318800000000001</v>
      </c>
      <c r="AG80" s="4">
        <f t="shared" si="112"/>
        <v>28.119</v>
      </c>
      <c r="AH80" s="8">
        <f t="shared" si="94"/>
        <v>13.39</v>
      </c>
      <c r="AI80" s="8">
        <f t="shared" si="85"/>
        <v>13.39</v>
      </c>
      <c r="AJ80" s="4">
        <f t="shared" si="113"/>
        <v>18.210400000000003</v>
      </c>
      <c r="AK80" s="1">
        <f t="shared" si="114"/>
        <v>13.39</v>
      </c>
      <c r="AL80" s="1">
        <f t="shared" si="115"/>
        <v>13.39</v>
      </c>
      <c r="AM80" s="2">
        <f t="shared" si="116"/>
        <v>13.39</v>
      </c>
      <c r="AN80" s="2">
        <f t="shared" si="117"/>
        <v>13.39</v>
      </c>
      <c r="AO80" s="3">
        <f t="shared" si="118"/>
        <v>11.54</v>
      </c>
      <c r="AP80" s="3">
        <f t="shared" si="133"/>
        <v>13.39</v>
      </c>
      <c r="AQ80" s="7">
        <f t="shared" si="119"/>
        <v>20.085</v>
      </c>
      <c r="AR80" s="1">
        <f t="shared" si="86"/>
        <v>28.849999999999998</v>
      </c>
      <c r="AS80" s="1">
        <f t="shared" si="120"/>
        <v>13.39</v>
      </c>
      <c r="AT80" s="3">
        <f t="shared" si="121"/>
        <v>16.068</v>
      </c>
      <c r="AU80" s="1">
        <f t="shared" si="136"/>
        <v>12.694</v>
      </c>
      <c r="AV80" s="1">
        <f t="shared" si="122"/>
        <v>13.39</v>
      </c>
      <c r="AW80" s="4">
        <f t="shared" si="138"/>
        <v>12.7205</v>
      </c>
      <c r="AX80" s="3" t="str">
        <f t="shared" si="123"/>
        <v>11.78 Per Unit</v>
      </c>
      <c r="AY80" s="3">
        <f t="shared" si="124"/>
        <v>13.39</v>
      </c>
      <c r="AZ80" s="1">
        <f t="shared" si="87"/>
        <v>13.39</v>
      </c>
      <c r="BA80" s="3">
        <f t="shared" si="88"/>
        <v>13.39</v>
      </c>
      <c r="BB80" s="3">
        <f t="shared" si="89"/>
        <v>13.39</v>
      </c>
      <c r="BC80" s="3">
        <f t="shared" si="90"/>
        <v>14.729000000000001</v>
      </c>
      <c r="BD80" s="3">
        <f t="shared" si="91"/>
        <v>12.051</v>
      </c>
      <c r="BE80" s="3">
        <f t="shared" si="125"/>
        <v>34.1445</v>
      </c>
      <c r="BF80" s="1">
        <f t="shared" si="126"/>
        <v>13.39</v>
      </c>
      <c r="BG80" s="8" t="str">
        <f t="shared" si="127"/>
        <v>12.72 Per Unit</v>
      </c>
      <c r="BH80" s="4">
        <f t="shared" si="134"/>
        <v>16.068</v>
      </c>
      <c r="BI80" s="1">
        <f t="shared" si="135"/>
        <v>13.39</v>
      </c>
      <c r="BJ80" s="3">
        <f t="shared" si="128"/>
        <v>12.7205</v>
      </c>
      <c r="BK80" s="1">
        <f t="shared" si="129"/>
        <v>13.39</v>
      </c>
      <c r="BL80" s="3">
        <v>12.051</v>
      </c>
      <c r="BM80" s="8">
        <f t="shared" si="130"/>
        <v>13.39</v>
      </c>
      <c r="BN80" s="3">
        <f>MIN(N80:BM80:BM80)</f>
        <v>11.54</v>
      </c>
      <c r="BO80" s="3">
        <f t="shared" si="131"/>
        <v>58.78079784393282</v>
      </c>
    </row>
    <row r="81" spans="1:67" ht="19.5" customHeight="1">
      <c r="A81" s="10">
        <f t="shared" si="137"/>
        <v>80</v>
      </c>
      <c r="B81" s="23">
        <v>80069</v>
      </c>
      <c r="C81" s="11" t="s">
        <v>379</v>
      </c>
      <c r="D81" s="29" t="s">
        <v>24</v>
      </c>
      <c r="E81" s="11" t="s">
        <v>371</v>
      </c>
      <c r="F81" s="45">
        <v>0</v>
      </c>
      <c r="G81" s="39" t="s">
        <v>379</v>
      </c>
      <c r="H81" s="48">
        <v>0</v>
      </c>
      <c r="I81" s="6">
        <v>0</v>
      </c>
      <c r="J81" s="8">
        <v>0</v>
      </c>
      <c r="K81" s="24" t="s">
        <v>386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3">
        <v>0</v>
      </c>
      <c r="BM81" s="3">
        <v>0</v>
      </c>
      <c r="BN81" s="3">
        <f>MIN(N81:BM81:BM81)</f>
        <v>0</v>
      </c>
      <c r="BO81" s="3">
        <f t="shared" si="131"/>
        <v>0</v>
      </c>
    </row>
    <row r="82" spans="1:67" ht="19.5" customHeight="1">
      <c r="A82" s="10">
        <f t="shared" si="137"/>
        <v>81</v>
      </c>
      <c r="B82" s="23">
        <v>80076</v>
      </c>
      <c r="C82" s="6">
        <v>3018007600</v>
      </c>
      <c r="D82" s="30" t="s">
        <v>207</v>
      </c>
      <c r="E82" s="11" t="s">
        <v>371</v>
      </c>
      <c r="F82" s="45">
        <v>24.51</v>
      </c>
      <c r="G82" s="23">
        <v>301</v>
      </c>
      <c r="H82" s="48">
        <v>0</v>
      </c>
      <c r="I82" s="6">
        <v>0</v>
      </c>
      <c r="J82" s="8">
        <f t="shared" si="97"/>
        <v>10.621</v>
      </c>
      <c r="K82" s="24" t="s">
        <v>386</v>
      </c>
      <c r="L82" s="3">
        <v>8.17</v>
      </c>
      <c r="M82" s="3">
        <v>6.38</v>
      </c>
      <c r="N82" s="17">
        <f>9.77*1.8</f>
        <v>17.586</v>
      </c>
      <c r="O82" s="8">
        <f t="shared" si="98"/>
        <v>8.17</v>
      </c>
      <c r="P82" s="7">
        <f t="shared" si="132"/>
        <v>15.931500000000002</v>
      </c>
      <c r="Q82" s="1">
        <f t="shared" si="99"/>
        <v>8.17</v>
      </c>
      <c r="R82" s="4">
        <f t="shared" si="100"/>
        <v>8.987</v>
      </c>
      <c r="S82" s="1">
        <f t="shared" si="101"/>
        <v>8.17</v>
      </c>
      <c r="T82" s="1">
        <v>12.14</v>
      </c>
      <c r="U82" s="27">
        <f>11.4200000762939*3.14</f>
        <v>35.85880023956285</v>
      </c>
      <c r="V82" s="3">
        <f t="shared" si="102"/>
        <v>8.17</v>
      </c>
      <c r="W82" s="3">
        <f t="shared" si="103"/>
        <v>8.17</v>
      </c>
      <c r="X82" s="3">
        <f t="shared" si="104"/>
        <v>8.17</v>
      </c>
      <c r="Y82" s="3">
        <v>11.96</v>
      </c>
      <c r="Z82" s="3">
        <f t="shared" si="105"/>
        <v>7.7615</v>
      </c>
      <c r="AA82" s="3">
        <f t="shared" si="106"/>
        <v>7.7615</v>
      </c>
      <c r="AB82" s="3">
        <f t="shared" si="107"/>
        <v>8.17</v>
      </c>
      <c r="AC82" s="4">
        <f t="shared" si="108"/>
        <v>8.5785</v>
      </c>
      <c r="AD82" s="3">
        <f t="shared" si="109"/>
        <v>8.17</v>
      </c>
      <c r="AE82" s="3">
        <f t="shared" si="110"/>
        <v>8.17</v>
      </c>
      <c r="AF82" s="3">
        <f t="shared" si="111"/>
        <v>7.5164</v>
      </c>
      <c r="AG82" s="4">
        <f t="shared" si="112"/>
        <v>17.157</v>
      </c>
      <c r="AH82" s="8">
        <f t="shared" si="94"/>
        <v>8.17</v>
      </c>
      <c r="AI82" s="8">
        <f t="shared" si="85"/>
        <v>8.17</v>
      </c>
      <c r="AJ82" s="4">
        <f t="shared" si="113"/>
        <v>11.1112</v>
      </c>
      <c r="AK82" s="1">
        <f t="shared" si="114"/>
        <v>8.17</v>
      </c>
      <c r="AL82" s="1">
        <f t="shared" si="115"/>
        <v>8.17</v>
      </c>
      <c r="AM82" s="2">
        <f t="shared" si="116"/>
        <v>8.17</v>
      </c>
      <c r="AN82" s="2">
        <f t="shared" si="117"/>
        <v>8.17</v>
      </c>
      <c r="AO82" s="3">
        <f t="shared" si="118"/>
        <v>6.38</v>
      </c>
      <c r="AP82" s="3">
        <f t="shared" si="133"/>
        <v>8.17</v>
      </c>
      <c r="AQ82" s="7">
        <f t="shared" si="119"/>
        <v>12.255</v>
      </c>
      <c r="AR82" s="1">
        <f t="shared" si="86"/>
        <v>15.95</v>
      </c>
      <c r="AS82" s="1">
        <f t="shared" si="120"/>
        <v>8.17</v>
      </c>
      <c r="AT82" s="3">
        <f t="shared" si="121"/>
        <v>9.804000000000002</v>
      </c>
      <c r="AU82" s="1">
        <f t="shared" si="136"/>
        <v>7.018000000000001</v>
      </c>
      <c r="AV82" s="1">
        <f t="shared" si="122"/>
        <v>8.17</v>
      </c>
      <c r="AW82" s="4">
        <f t="shared" si="138"/>
        <v>7.7615</v>
      </c>
      <c r="AX82" s="3" t="str">
        <f t="shared" si="123"/>
        <v>7.19 Per Unit</v>
      </c>
      <c r="AY82" s="3">
        <f t="shared" si="124"/>
        <v>8.17</v>
      </c>
      <c r="AZ82" s="1">
        <f t="shared" si="87"/>
        <v>8.17</v>
      </c>
      <c r="BA82" s="3">
        <f t="shared" si="88"/>
        <v>8.17</v>
      </c>
      <c r="BB82" s="3">
        <f t="shared" si="89"/>
        <v>8.17</v>
      </c>
      <c r="BC82" s="3">
        <f t="shared" si="90"/>
        <v>8.987</v>
      </c>
      <c r="BD82" s="3">
        <f t="shared" si="91"/>
        <v>7.353</v>
      </c>
      <c r="BE82" s="3">
        <f t="shared" si="125"/>
        <v>20.8335</v>
      </c>
      <c r="BF82" s="1">
        <f t="shared" si="126"/>
        <v>8.17</v>
      </c>
      <c r="BG82" s="8" t="str">
        <f t="shared" si="127"/>
        <v>7.76 Per Unit</v>
      </c>
      <c r="BH82" s="4">
        <f t="shared" si="134"/>
        <v>9.804</v>
      </c>
      <c r="BI82" s="1">
        <f t="shared" si="135"/>
        <v>8.17</v>
      </c>
      <c r="BJ82" s="3">
        <f t="shared" si="128"/>
        <v>7.7615</v>
      </c>
      <c r="BK82" s="1">
        <f t="shared" si="129"/>
        <v>8.17</v>
      </c>
      <c r="BL82" s="3">
        <v>7.353</v>
      </c>
      <c r="BM82" s="8">
        <f t="shared" si="130"/>
        <v>8.17</v>
      </c>
      <c r="BN82" s="3">
        <f>MIN(N82:BM82:BM82)</f>
        <v>6.38</v>
      </c>
      <c r="BO82" s="3">
        <f t="shared" si="131"/>
        <v>35.85880023956285</v>
      </c>
    </row>
    <row r="83" spans="1:67" ht="19.5" customHeight="1">
      <c r="A83" s="10">
        <f t="shared" si="137"/>
        <v>82</v>
      </c>
      <c r="B83" s="23">
        <v>81000</v>
      </c>
      <c r="C83" s="11" t="s">
        <v>379</v>
      </c>
      <c r="D83" s="29" t="s">
        <v>11</v>
      </c>
      <c r="E83" s="11" t="s">
        <v>371</v>
      </c>
      <c r="F83" s="46">
        <v>0</v>
      </c>
      <c r="G83" s="39" t="s">
        <v>379</v>
      </c>
      <c r="H83" s="48">
        <v>0</v>
      </c>
      <c r="I83" s="6">
        <v>0</v>
      </c>
      <c r="J83" s="8">
        <v>0</v>
      </c>
      <c r="K83" s="24" t="s">
        <v>386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48">
        <v>0</v>
      </c>
      <c r="U83" s="48">
        <v>0</v>
      </c>
      <c r="V83" s="48">
        <v>0</v>
      </c>
      <c r="W83" s="48">
        <v>0</v>
      </c>
      <c r="X83" s="48">
        <v>0</v>
      </c>
      <c r="Y83" s="48">
        <v>0</v>
      </c>
      <c r="Z83" s="48">
        <v>0</v>
      </c>
      <c r="AA83" s="48">
        <v>0</v>
      </c>
      <c r="AB83" s="48">
        <v>0</v>
      </c>
      <c r="AC83" s="48">
        <v>0</v>
      </c>
      <c r="AD83" s="48">
        <v>0</v>
      </c>
      <c r="AE83" s="48">
        <v>0</v>
      </c>
      <c r="AF83" s="48">
        <v>0</v>
      </c>
      <c r="AG83" s="48">
        <v>0</v>
      </c>
      <c r="AH83" s="48">
        <v>0</v>
      </c>
      <c r="AI83" s="48">
        <v>0</v>
      </c>
      <c r="AJ83" s="48">
        <v>0</v>
      </c>
      <c r="AK83" s="48">
        <v>0</v>
      </c>
      <c r="AL83" s="48">
        <v>0</v>
      </c>
      <c r="AM83" s="48">
        <v>0</v>
      </c>
      <c r="AN83" s="48">
        <v>0</v>
      </c>
      <c r="AO83" s="48">
        <v>0</v>
      </c>
      <c r="AP83" s="48">
        <v>0</v>
      </c>
      <c r="AQ83" s="48">
        <v>0</v>
      </c>
      <c r="AR83" s="48">
        <v>0</v>
      </c>
      <c r="AS83" s="48">
        <v>0</v>
      </c>
      <c r="AT83" s="48">
        <v>0</v>
      </c>
      <c r="AU83" s="48">
        <v>0</v>
      </c>
      <c r="AV83" s="48">
        <v>0</v>
      </c>
      <c r="AW83" s="48">
        <v>0</v>
      </c>
      <c r="AX83" s="48">
        <v>0</v>
      </c>
      <c r="AY83" s="48">
        <v>0</v>
      </c>
      <c r="AZ83" s="48">
        <v>0</v>
      </c>
      <c r="BA83" s="48">
        <v>0</v>
      </c>
      <c r="BB83" s="48">
        <v>0</v>
      </c>
      <c r="BC83" s="48">
        <v>0</v>
      </c>
      <c r="BD83" s="48">
        <v>0</v>
      </c>
      <c r="BE83" s="48">
        <v>0</v>
      </c>
      <c r="BF83" s="48">
        <v>0</v>
      </c>
      <c r="BG83" s="48">
        <v>0</v>
      </c>
      <c r="BH83" s="48">
        <v>0</v>
      </c>
      <c r="BI83" s="48">
        <v>0</v>
      </c>
      <c r="BJ83" s="48">
        <v>0</v>
      </c>
      <c r="BK83" s="48">
        <v>0</v>
      </c>
      <c r="BL83" s="48">
        <v>0</v>
      </c>
      <c r="BM83" s="48">
        <v>0</v>
      </c>
      <c r="BN83" s="3">
        <f>MIN(N83:BM83:BM83)</f>
        <v>0</v>
      </c>
      <c r="BO83" s="3">
        <f t="shared" si="131"/>
        <v>0</v>
      </c>
    </row>
    <row r="84" spans="1:67" ht="19.5" customHeight="1">
      <c r="A84" s="10">
        <f t="shared" si="137"/>
        <v>83</v>
      </c>
      <c r="B84" s="23">
        <v>81001</v>
      </c>
      <c r="C84" s="6">
        <v>3078100100</v>
      </c>
      <c r="D84" s="30" t="s">
        <v>208</v>
      </c>
      <c r="E84" s="11" t="s">
        <v>371</v>
      </c>
      <c r="F84" s="45">
        <v>9.51</v>
      </c>
      <c r="G84" s="23">
        <v>307</v>
      </c>
      <c r="H84" s="48">
        <v>0</v>
      </c>
      <c r="I84" s="6">
        <v>0</v>
      </c>
      <c r="J84" s="8">
        <f t="shared" si="97"/>
        <v>4.121</v>
      </c>
      <c r="K84" s="24" t="s">
        <v>386</v>
      </c>
      <c r="L84" s="3">
        <v>3.17</v>
      </c>
      <c r="M84" s="3">
        <v>2.77</v>
      </c>
      <c r="N84" s="17">
        <f>3.78*1.8</f>
        <v>6.803999999999999</v>
      </c>
      <c r="O84" s="8">
        <f t="shared" si="98"/>
        <v>3.17</v>
      </c>
      <c r="P84" s="7">
        <f t="shared" si="132"/>
        <v>6.1815</v>
      </c>
      <c r="Q84" s="1">
        <f t="shared" si="99"/>
        <v>3.17</v>
      </c>
      <c r="R84" s="4">
        <f t="shared" si="100"/>
        <v>3.487</v>
      </c>
      <c r="S84" s="1">
        <f t="shared" si="101"/>
        <v>3.17</v>
      </c>
      <c r="T84" s="1">
        <v>4.54</v>
      </c>
      <c r="U84" s="27">
        <f>4.42999982833862*3.14</f>
        <v>13.910199460983268</v>
      </c>
      <c r="V84" s="3">
        <f t="shared" si="102"/>
        <v>3.17</v>
      </c>
      <c r="W84" s="3">
        <f t="shared" si="103"/>
        <v>3.17</v>
      </c>
      <c r="X84" s="3">
        <f t="shared" si="104"/>
        <v>3.17</v>
      </c>
      <c r="Y84" s="3">
        <v>4.64</v>
      </c>
      <c r="Z84" s="3">
        <f t="shared" si="105"/>
        <v>3.0115</v>
      </c>
      <c r="AA84" s="3">
        <f t="shared" si="106"/>
        <v>3.0115</v>
      </c>
      <c r="AB84" s="3">
        <f t="shared" si="107"/>
        <v>3.17</v>
      </c>
      <c r="AC84" s="4">
        <f t="shared" si="108"/>
        <v>3.3285</v>
      </c>
      <c r="AD84" s="3">
        <f t="shared" si="109"/>
        <v>3.17</v>
      </c>
      <c r="AE84" s="3">
        <f t="shared" si="110"/>
        <v>3.17</v>
      </c>
      <c r="AF84" s="3">
        <f t="shared" si="111"/>
        <v>2.9164</v>
      </c>
      <c r="AG84" s="4">
        <f t="shared" si="112"/>
        <v>6.656999999999999</v>
      </c>
      <c r="AH84" s="8">
        <f t="shared" si="94"/>
        <v>3.17</v>
      </c>
      <c r="AI84" s="8">
        <f t="shared" si="85"/>
        <v>3.17</v>
      </c>
      <c r="AJ84" s="4">
        <f t="shared" si="113"/>
        <v>4.3112</v>
      </c>
      <c r="AK84" s="1">
        <f t="shared" si="114"/>
        <v>3.17</v>
      </c>
      <c r="AL84" s="1">
        <f t="shared" si="115"/>
        <v>3.17</v>
      </c>
      <c r="AM84" s="2">
        <f t="shared" si="116"/>
        <v>3.17</v>
      </c>
      <c r="AN84" s="2">
        <f t="shared" si="117"/>
        <v>3.17</v>
      </c>
      <c r="AO84" s="3">
        <f t="shared" si="118"/>
        <v>2.77</v>
      </c>
      <c r="AP84" s="3">
        <f t="shared" si="133"/>
        <v>3.17</v>
      </c>
      <c r="AQ84" s="7">
        <f t="shared" si="119"/>
        <v>4.755</v>
      </c>
      <c r="AR84" s="1">
        <f t="shared" si="86"/>
        <v>6.925</v>
      </c>
      <c r="AS84" s="1">
        <f t="shared" si="120"/>
        <v>3.17</v>
      </c>
      <c r="AT84" s="3">
        <f t="shared" si="121"/>
        <v>3.8040000000000003</v>
      </c>
      <c r="AU84" s="1">
        <f t="shared" si="136"/>
        <v>3.047</v>
      </c>
      <c r="AV84" s="1">
        <f t="shared" si="122"/>
        <v>3.17</v>
      </c>
      <c r="AW84" s="4">
        <f t="shared" si="138"/>
        <v>3.0115</v>
      </c>
      <c r="AX84" s="3" t="str">
        <f t="shared" si="123"/>
        <v>2.79 Per Unit</v>
      </c>
      <c r="AY84" s="3">
        <f t="shared" si="124"/>
        <v>3.17</v>
      </c>
      <c r="AZ84" s="1">
        <f t="shared" si="87"/>
        <v>3.17</v>
      </c>
      <c r="BA84" s="3">
        <f t="shared" si="88"/>
        <v>3.17</v>
      </c>
      <c r="BB84" s="3">
        <f t="shared" si="89"/>
        <v>3.17</v>
      </c>
      <c r="BC84" s="3">
        <f t="shared" si="90"/>
        <v>3.487</v>
      </c>
      <c r="BD84" s="3">
        <f t="shared" si="91"/>
        <v>2.853</v>
      </c>
      <c r="BE84" s="3">
        <f t="shared" si="125"/>
        <v>8.083499999999999</v>
      </c>
      <c r="BF84" s="1">
        <f t="shared" si="126"/>
        <v>3.17</v>
      </c>
      <c r="BG84" s="8" t="str">
        <f t="shared" si="127"/>
        <v>3.01 Per Unit</v>
      </c>
      <c r="BH84" s="4">
        <f t="shared" si="134"/>
        <v>3.804</v>
      </c>
      <c r="BI84" s="1">
        <f t="shared" si="135"/>
        <v>3.17</v>
      </c>
      <c r="BJ84" s="3">
        <f t="shared" si="128"/>
        <v>3.0115</v>
      </c>
      <c r="BK84" s="1">
        <f t="shared" si="129"/>
        <v>3.17</v>
      </c>
      <c r="BL84" s="3">
        <v>2.853</v>
      </c>
      <c r="BM84" s="8">
        <f t="shared" si="130"/>
        <v>3.17</v>
      </c>
      <c r="BN84" s="3">
        <f>MIN(N84:BM84:BM84)</f>
        <v>2.77</v>
      </c>
      <c r="BO84" s="3">
        <f t="shared" si="131"/>
        <v>13.910199460983268</v>
      </c>
    </row>
    <row r="85" spans="1:67" ht="19.5" customHeight="1">
      <c r="A85" s="10">
        <f t="shared" si="137"/>
        <v>84</v>
      </c>
      <c r="B85" s="23">
        <v>81003</v>
      </c>
      <c r="C85" s="6">
        <v>3078100300</v>
      </c>
      <c r="D85" s="29" t="s">
        <v>357</v>
      </c>
      <c r="E85" s="11" t="s">
        <v>371</v>
      </c>
      <c r="F85" s="45">
        <v>6.75</v>
      </c>
      <c r="G85" s="23">
        <v>307</v>
      </c>
      <c r="H85" s="48">
        <v>0</v>
      </c>
      <c r="I85" s="6">
        <v>0</v>
      </c>
      <c r="J85" s="8">
        <f t="shared" si="97"/>
        <v>2.9250000000000003</v>
      </c>
      <c r="K85" s="24" t="s">
        <v>386</v>
      </c>
      <c r="L85" s="3">
        <v>2.25</v>
      </c>
      <c r="M85" s="3">
        <v>1.96</v>
      </c>
      <c r="N85" s="17">
        <f>2.69*1.8</f>
        <v>4.842</v>
      </c>
      <c r="O85" s="8">
        <f t="shared" si="98"/>
        <v>2.25</v>
      </c>
      <c r="P85" s="7">
        <f t="shared" si="132"/>
        <v>4.3875</v>
      </c>
      <c r="Q85" s="1">
        <f t="shared" si="99"/>
        <v>2.25</v>
      </c>
      <c r="R85" s="4">
        <f t="shared" si="100"/>
        <v>2.475</v>
      </c>
      <c r="S85" s="1">
        <f t="shared" si="101"/>
        <v>2.25</v>
      </c>
      <c r="T85" s="1">
        <v>3.34</v>
      </c>
      <c r="U85" s="27">
        <f>3.14000010490417*3.14</f>
        <v>9.859600329399093</v>
      </c>
      <c r="V85" s="3">
        <f t="shared" si="102"/>
        <v>2.25</v>
      </c>
      <c r="W85" s="3">
        <f t="shared" si="103"/>
        <v>2.25</v>
      </c>
      <c r="X85" s="3">
        <f t="shared" si="104"/>
        <v>2.25</v>
      </c>
      <c r="Y85" s="3">
        <v>3.29</v>
      </c>
      <c r="Z85" s="3">
        <f t="shared" si="105"/>
        <v>2.1374999999999997</v>
      </c>
      <c r="AA85" s="3">
        <f t="shared" si="106"/>
        <v>2.1374999999999997</v>
      </c>
      <c r="AB85" s="3">
        <f t="shared" si="107"/>
        <v>2.25</v>
      </c>
      <c r="AC85" s="4">
        <f t="shared" si="108"/>
        <v>2.3625000000000003</v>
      </c>
      <c r="AD85" s="3">
        <f t="shared" si="109"/>
        <v>2.25</v>
      </c>
      <c r="AE85" s="3">
        <f t="shared" si="110"/>
        <v>2.25</v>
      </c>
      <c r="AF85" s="3">
        <f t="shared" si="111"/>
        <v>2.0700000000000003</v>
      </c>
      <c r="AG85" s="4">
        <f t="shared" si="112"/>
        <v>4.725</v>
      </c>
      <c r="AH85" s="8">
        <f t="shared" si="94"/>
        <v>2.25</v>
      </c>
      <c r="AI85" s="8">
        <f t="shared" si="85"/>
        <v>2.25</v>
      </c>
      <c r="AJ85" s="4">
        <f t="shared" si="113"/>
        <v>3.06</v>
      </c>
      <c r="AK85" s="1">
        <f t="shared" si="114"/>
        <v>2.25</v>
      </c>
      <c r="AL85" s="1">
        <f t="shared" si="115"/>
        <v>2.25</v>
      </c>
      <c r="AM85" s="2">
        <f t="shared" si="116"/>
        <v>2.25</v>
      </c>
      <c r="AN85" s="2">
        <f t="shared" si="117"/>
        <v>2.25</v>
      </c>
      <c r="AO85" s="3">
        <f t="shared" si="118"/>
        <v>1.96</v>
      </c>
      <c r="AP85" s="3">
        <f t="shared" si="133"/>
        <v>2.25</v>
      </c>
      <c r="AQ85" s="7">
        <f t="shared" si="119"/>
        <v>3.375</v>
      </c>
      <c r="AR85" s="1">
        <f t="shared" si="86"/>
        <v>4.9</v>
      </c>
      <c r="AS85" s="1">
        <f t="shared" si="120"/>
        <v>2.25</v>
      </c>
      <c r="AT85" s="3">
        <f t="shared" si="121"/>
        <v>2.7</v>
      </c>
      <c r="AU85" s="1">
        <f t="shared" si="136"/>
        <v>2.156</v>
      </c>
      <c r="AV85" s="1">
        <f t="shared" si="122"/>
        <v>2.25</v>
      </c>
      <c r="AW85" s="4">
        <f t="shared" si="138"/>
        <v>2.1374999999999997</v>
      </c>
      <c r="AX85" s="3" t="str">
        <f t="shared" si="123"/>
        <v>1.98 Per Unit</v>
      </c>
      <c r="AY85" s="3">
        <f t="shared" si="124"/>
        <v>2.25</v>
      </c>
      <c r="AZ85" s="1">
        <f t="shared" si="87"/>
        <v>2.25</v>
      </c>
      <c r="BA85" s="3">
        <f t="shared" si="88"/>
        <v>2.25</v>
      </c>
      <c r="BB85" s="3">
        <f t="shared" si="89"/>
        <v>2.25</v>
      </c>
      <c r="BC85" s="3">
        <f t="shared" si="90"/>
        <v>2.475</v>
      </c>
      <c r="BD85" s="3">
        <f t="shared" si="91"/>
        <v>2.025</v>
      </c>
      <c r="BE85" s="3">
        <f t="shared" si="125"/>
        <v>5.7375</v>
      </c>
      <c r="BF85" s="1">
        <f t="shared" si="126"/>
        <v>2.25</v>
      </c>
      <c r="BG85" s="8" t="str">
        <f t="shared" si="127"/>
        <v>2.14 Per Unit</v>
      </c>
      <c r="BH85" s="4">
        <f t="shared" si="134"/>
        <v>2.6999999999999997</v>
      </c>
      <c r="BI85" s="1">
        <f t="shared" si="135"/>
        <v>2.25</v>
      </c>
      <c r="BJ85" s="3">
        <f t="shared" si="128"/>
        <v>2.1374999999999997</v>
      </c>
      <c r="BK85" s="1">
        <f t="shared" si="129"/>
        <v>2.25</v>
      </c>
      <c r="BL85" s="3">
        <v>2.025</v>
      </c>
      <c r="BM85" s="8">
        <f t="shared" si="130"/>
        <v>2.25</v>
      </c>
      <c r="BN85" s="3">
        <f>MIN(N85:BM85:BM85)</f>
        <v>1.96</v>
      </c>
      <c r="BO85" s="3">
        <f t="shared" si="131"/>
        <v>9.859600329399093</v>
      </c>
    </row>
    <row r="86" spans="1:67" ht="19.5" customHeight="1">
      <c r="A86" s="10">
        <f t="shared" si="137"/>
        <v>85</v>
      </c>
      <c r="B86" s="23">
        <v>84153</v>
      </c>
      <c r="C86" s="6">
        <v>3018415300</v>
      </c>
      <c r="D86" s="29" t="s">
        <v>5</v>
      </c>
      <c r="E86" s="11" t="s">
        <v>371</v>
      </c>
      <c r="F86" s="45">
        <v>55.17</v>
      </c>
      <c r="G86" s="23">
        <v>301</v>
      </c>
      <c r="H86" s="48">
        <v>0</v>
      </c>
      <c r="I86" s="6">
        <v>0</v>
      </c>
      <c r="J86" s="8">
        <f t="shared" si="97"/>
        <v>23.907</v>
      </c>
      <c r="K86" s="24" t="s">
        <v>386</v>
      </c>
      <c r="L86" s="3">
        <v>18.39</v>
      </c>
      <c r="M86" s="3">
        <v>16.35</v>
      </c>
      <c r="N86" s="19">
        <f>22.01*1.8</f>
        <v>39.618</v>
      </c>
      <c r="O86" s="8">
        <f t="shared" si="98"/>
        <v>18.39</v>
      </c>
      <c r="P86" s="7">
        <f t="shared" si="132"/>
        <v>35.8605</v>
      </c>
      <c r="Q86" s="1">
        <f t="shared" si="99"/>
        <v>18.39</v>
      </c>
      <c r="R86" s="4">
        <f t="shared" si="100"/>
        <v>20.229000000000003</v>
      </c>
      <c r="S86" s="1">
        <f t="shared" si="101"/>
        <v>18.39</v>
      </c>
      <c r="T86" s="1">
        <v>27.32</v>
      </c>
      <c r="U86" s="27">
        <f>25.7000007629394*3.14</f>
        <v>80.69800239562971</v>
      </c>
      <c r="V86" s="3">
        <f t="shared" si="102"/>
        <v>18.39</v>
      </c>
      <c r="W86" s="3">
        <f t="shared" si="103"/>
        <v>18.39</v>
      </c>
      <c r="X86" s="3">
        <f t="shared" si="104"/>
        <v>18.39</v>
      </c>
      <c r="Y86" s="3">
        <v>26.9</v>
      </c>
      <c r="Z86" s="3">
        <f t="shared" si="105"/>
        <v>17.4705</v>
      </c>
      <c r="AA86" s="3">
        <f t="shared" si="106"/>
        <v>17.4705</v>
      </c>
      <c r="AB86" s="3">
        <f t="shared" si="107"/>
        <v>18.39</v>
      </c>
      <c r="AC86" s="4">
        <f t="shared" si="108"/>
        <v>19.3095</v>
      </c>
      <c r="AD86" s="3">
        <f t="shared" si="109"/>
        <v>18.39</v>
      </c>
      <c r="AE86" s="3">
        <f t="shared" si="110"/>
        <v>18.39</v>
      </c>
      <c r="AF86" s="3">
        <f t="shared" si="111"/>
        <v>16.9188</v>
      </c>
      <c r="AG86" s="4">
        <f t="shared" si="112"/>
        <v>38.619</v>
      </c>
      <c r="AH86" s="8">
        <f t="shared" si="94"/>
        <v>18.39</v>
      </c>
      <c r="AI86" s="8">
        <f t="shared" si="85"/>
        <v>18.39</v>
      </c>
      <c r="AJ86" s="4">
        <f t="shared" si="113"/>
        <v>25.010400000000004</v>
      </c>
      <c r="AK86" s="1">
        <f t="shared" si="114"/>
        <v>18.39</v>
      </c>
      <c r="AL86" s="1">
        <f t="shared" si="115"/>
        <v>18.39</v>
      </c>
      <c r="AM86" s="2">
        <f t="shared" si="116"/>
        <v>18.39</v>
      </c>
      <c r="AN86" s="2">
        <f t="shared" si="117"/>
        <v>18.39</v>
      </c>
      <c r="AO86" s="3">
        <f t="shared" si="118"/>
        <v>16.35</v>
      </c>
      <c r="AP86" s="3">
        <f t="shared" si="133"/>
        <v>18.39</v>
      </c>
      <c r="AQ86" s="7">
        <f t="shared" si="119"/>
        <v>27.585</v>
      </c>
      <c r="AR86" s="1">
        <f t="shared" si="86"/>
        <v>40.875</v>
      </c>
      <c r="AS86" s="1">
        <f t="shared" si="120"/>
        <v>18.39</v>
      </c>
      <c r="AT86" s="3">
        <f t="shared" si="121"/>
        <v>22.068</v>
      </c>
      <c r="AU86" s="1">
        <f t="shared" si="136"/>
        <v>17.985000000000003</v>
      </c>
      <c r="AV86" s="1">
        <f t="shared" si="122"/>
        <v>18.39</v>
      </c>
      <c r="AW86" s="4">
        <f t="shared" si="138"/>
        <v>17.4705</v>
      </c>
      <c r="AX86" s="3" t="str">
        <f t="shared" si="123"/>
        <v>16.18 Per Unit</v>
      </c>
      <c r="AY86" s="3">
        <f t="shared" si="124"/>
        <v>18.39</v>
      </c>
      <c r="AZ86" s="1">
        <f t="shared" si="87"/>
        <v>18.39</v>
      </c>
      <c r="BA86" s="3">
        <f t="shared" si="88"/>
        <v>18.39</v>
      </c>
      <c r="BB86" s="3">
        <f t="shared" si="89"/>
        <v>18.39</v>
      </c>
      <c r="BC86" s="3">
        <f t="shared" si="90"/>
        <v>20.229000000000003</v>
      </c>
      <c r="BD86" s="3">
        <f t="shared" si="91"/>
        <v>16.551000000000002</v>
      </c>
      <c r="BE86" s="3">
        <f t="shared" si="125"/>
        <v>46.8945</v>
      </c>
      <c r="BF86" s="1">
        <f t="shared" si="126"/>
        <v>18.39</v>
      </c>
      <c r="BG86" s="8" t="str">
        <f t="shared" si="127"/>
        <v>17.47 Per Unit</v>
      </c>
      <c r="BH86" s="4">
        <f t="shared" si="134"/>
        <v>22.068</v>
      </c>
      <c r="BI86" s="1">
        <f t="shared" si="135"/>
        <v>18.39</v>
      </c>
      <c r="BJ86" s="3">
        <f t="shared" si="128"/>
        <v>17.4705</v>
      </c>
      <c r="BK86" s="1">
        <f t="shared" si="129"/>
        <v>18.39</v>
      </c>
      <c r="BL86" s="3">
        <v>16.551000000000002</v>
      </c>
      <c r="BM86" s="8">
        <f t="shared" si="130"/>
        <v>18.39</v>
      </c>
      <c r="BN86" s="3">
        <f>MIN(N86:BM86:BM86)</f>
        <v>16.35</v>
      </c>
      <c r="BO86" s="3">
        <f t="shared" si="131"/>
        <v>80.69800239562971</v>
      </c>
    </row>
    <row r="87" spans="1:67" ht="19.5" customHeight="1">
      <c r="A87" s="10">
        <f t="shared" si="137"/>
        <v>86</v>
      </c>
      <c r="B87" s="6">
        <v>84443</v>
      </c>
      <c r="C87" s="6">
        <v>3018444300</v>
      </c>
      <c r="D87" s="30" t="s">
        <v>358</v>
      </c>
      <c r="E87" s="11" t="s">
        <v>371</v>
      </c>
      <c r="F87" s="45">
        <v>50.4</v>
      </c>
      <c r="G87" s="23">
        <v>301</v>
      </c>
      <c r="H87" s="48">
        <v>0</v>
      </c>
      <c r="I87" s="6">
        <v>0</v>
      </c>
      <c r="J87" s="8">
        <f t="shared" si="97"/>
        <v>21.840000000000003</v>
      </c>
      <c r="K87" s="24" t="s">
        <v>386</v>
      </c>
      <c r="L87" s="3">
        <v>16.8</v>
      </c>
      <c r="M87" s="3">
        <v>14.76</v>
      </c>
      <c r="N87" s="17">
        <f>20.09*1.8</f>
        <v>36.162</v>
      </c>
      <c r="O87" s="8">
        <f t="shared" si="98"/>
        <v>16.8</v>
      </c>
      <c r="P87" s="7">
        <f t="shared" si="132"/>
        <v>32.76</v>
      </c>
      <c r="Q87" s="1">
        <f t="shared" si="99"/>
        <v>16.8</v>
      </c>
      <c r="R87" s="4">
        <f t="shared" si="100"/>
        <v>18.480000000000004</v>
      </c>
      <c r="S87" s="1">
        <f t="shared" si="101"/>
        <v>16.8</v>
      </c>
      <c r="T87" s="1">
        <v>24.96</v>
      </c>
      <c r="U87" s="27">
        <f>23.4699993133544*3.14</f>
        <v>73.69579784393282</v>
      </c>
      <c r="V87" s="3">
        <f t="shared" si="102"/>
        <v>16.8</v>
      </c>
      <c r="W87" s="3">
        <f t="shared" si="103"/>
        <v>16.8</v>
      </c>
      <c r="X87" s="3">
        <f t="shared" si="104"/>
        <v>16.8</v>
      </c>
      <c r="Y87" s="3">
        <v>24.57</v>
      </c>
      <c r="Z87" s="3">
        <f t="shared" si="105"/>
        <v>15.959999999999999</v>
      </c>
      <c r="AA87" s="3">
        <f t="shared" si="106"/>
        <v>15.959999999999999</v>
      </c>
      <c r="AB87" s="3">
        <f t="shared" si="107"/>
        <v>16.8</v>
      </c>
      <c r="AC87" s="4">
        <f t="shared" si="108"/>
        <v>17.64</v>
      </c>
      <c r="AD87" s="3">
        <f t="shared" si="109"/>
        <v>16.8</v>
      </c>
      <c r="AE87" s="3">
        <f t="shared" si="110"/>
        <v>16.8</v>
      </c>
      <c r="AF87" s="3">
        <f t="shared" si="111"/>
        <v>15.456000000000001</v>
      </c>
      <c r="AG87" s="4">
        <f t="shared" si="112"/>
        <v>35.279999999999994</v>
      </c>
      <c r="AH87" s="8">
        <f t="shared" si="94"/>
        <v>16.8</v>
      </c>
      <c r="AI87" s="8">
        <f t="shared" si="85"/>
        <v>16.8</v>
      </c>
      <c r="AJ87" s="4">
        <f t="shared" si="113"/>
        <v>22.848000000000003</v>
      </c>
      <c r="AK87" s="1">
        <f t="shared" si="114"/>
        <v>16.8</v>
      </c>
      <c r="AL87" s="1">
        <f t="shared" si="115"/>
        <v>16.8</v>
      </c>
      <c r="AM87" s="2">
        <f t="shared" si="116"/>
        <v>16.8</v>
      </c>
      <c r="AN87" s="2">
        <f t="shared" si="117"/>
        <v>16.8</v>
      </c>
      <c r="AO87" s="3">
        <f t="shared" si="118"/>
        <v>14.76</v>
      </c>
      <c r="AP87" s="3">
        <f t="shared" si="133"/>
        <v>16.8</v>
      </c>
      <c r="AQ87" s="7">
        <f t="shared" si="119"/>
        <v>25.2</v>
      </c>
      <c r="AR87" s="1">
        <f t="shared" si="86"/>
        <v>36.9</v>
      </c>
      <c r="AS87" s="1">
        <f t="shared" si="120"/>
        <v>16.8</v>
      </c>
      <c r="AT87" s="3">
        <f t="shared" si="121"/>
        <v>20.16</v>
      </c>
      <c r="AU87" s="1">
        <f t="shared" si="136"/>
        <v>16.236</v>
      </c>
      <c r="AV87" s="1">
        <f t="shared" si="122"/>
        <v>16.8</v>
      </c>
      <c r="AW87" s="4">
        <f t="shared" si="138"/>
        <v>15.959999999999999</v>
      </c>
      <c r="AX87" s="3" t="str">
        <f t="shared" si="123"/>
        <v>14.78 Per Unit</v>
      </c>
      <c r="AY87" s="3">
        <f t="shared" si="124"/>
        <v>16.8</v>
      </c>
      <c r="AZ87" s="1">
        <f t="shared" si="87"/>
        <v>16.8</v>
      </c>
      <c r="BA87" s="3">
        <f t="shared" si="88"/>
        <v>16.8</v>
      </c>
      <c r="BB87" s="3">
        <f t="shared" si="89"/>
        <v>16.8</v>
      </c>
      <c r="BC87" s="3">
        <f t="shared" si="90"/>
        <v>18.480000000000004</v>
      </c>
      <c r="BD87" s="3">
        <f t="shared" si="91"/>
        <v>15.120000000000001</v>
      </c>
      <c r="BE87" s="3">
        <f t="shared" si="125"/>
        <v>42.839999999999996</v>
      </c>
      <c r="BF87" s="1">
        <f t="shared" si="126"/>
        <v>16.8</v>
      </c>
      <c r="BG87" s="8" t="str">
        <f t="shared" si="127"/>
        <v>15.96 Per Unit</v>
      </c>
      <c r="BH87" s="4">
        <f t="shared" si="134"/>
        <v>20.16</v>
      </c>
      <c r="BI87" s="1">
        <f t="shared" si="135"/>
        <v>16.8</v>
      </c>
      <c r="BJ87" s="3">
        <f t="shared" si="128"/>
        <v>15.959999999999999</v>
      </c>
      <c r="BK87" s="1">
        <f t="shared" si="129"/>
        <v>16.8</v>
      </c>
      <c r="BL87" s="3">
        <v>15.120000000000001</v>
      </c>
      <c r="BM87" s="8">
        <f t="shared" si="130"/>
        <v>16.8</v>
      </c>
      <c r="BN87" s="3">
        <f>MIN(N87:BM87:BM87)</f>
        <v>14.76</v>
      </c>
      <c r="BO87" s="3">
        <f t="shared" si="131"/>
        <v>73.69579784393282</v>
      </c>
    </row>
    <row r="88" spans="1:67" ht="19.5" customHeight="1">
      <c r="A88" s="10">
        <f t="shared" si="137"/>
        <v>87</v>
      </c>
      <c r="B88" s="23">
        <v>85027</v>
      </c>
      <c r="C88" s="6">
        <v>3058502700</v>
      </c>
      <c r="D88" s="30" t="s">
        <v>359</v>
      </c>
      <c r="E88" s="11" t="s">
        <v>371</v>
      </c>
      <c r="F88" s="45">
        <v>19.41</v>
      </c>
      <c r="G88" s="23">
        <v>305</v>
      </c>
      <c r="H88" s="48">
        <v>0</v>
      </c>
      <c r="I88" s="6">
        <v>0</v>
      </c>
      <c r="J88" s="8">
        <f t="shared" si="97"/>
        <v>8.411</v>
      </c>
      <c r="K88" s="24" t="s">
        <v>386</v>
      </c>
      <c r="L88" s="3">
        <v>6.47</v>
      </c>
      <c r="M88" s="3">
        <v>5.71</v>
      </c>
      <c r="N88" s="19">
        <f>7.74*1.8</f>
        <v>13.932</v>
      </c>
      <c r="O88" s="8">
        <f t="shared" si="98"/>
        <v>6.47</v>
      </c>
      <c r="P88" s="7">
        <f t="shared" si="132"/>
        <v>12.6165</v>
      </c>
      <c r="Q88" s="1">
        <f t="shared" si="99"/>
        <v>6.47</v>
      </c>
      <c r="R88" s="4">
        <f t="shared" si="100"/>
        <v>7.117</v>
      </c>
      <c r="S88" s="1">
        <f t="shared" si="101"/>
        <v>6.47</v>
      </c>
      <c r="T88" s="1">
        <v>9.61</v>
      </c>
      <c r="U88" s="27">
        <f>9.03999996185302*3.14</f>
        <v>28.385599880218486</v>
      </c>
      <c r="V88" s="3">
        <f t="shared" si="102"/>
        <v>6.47</v>
      </c>
      <c r="W88" s="3">
        <f t="shared" si="103"/>
        <v>6.47</v>
      </c>
      <c r="X88" s="3">
        <f t="shared" si="104"/>
        <v>6.47</v>
      </c>
      <c r="Y88" s="3">
        <v>9.48</v>
      </c>
      <c r="Z88" s="3">
        <f t="shared" si="105"/>
        <v>6.1465</v>
      </c>
      <c r="AA88" s="3">
        <f t="shared" si="106"/>
        <v>6.1465</v>
      </c>
      <c r="AB88" s="3">
        <f t="shared" si="107"/>
        <v>6.47</v>
      </c>
      <c r="AC88" s="4">
        <f t="shared" si="108"/>
        <v>6.7935</v>
      </c>
      <c r="AD88" s="3">
        <f t="shared" si="109"/>
        <v>6.47</v>
      </c>
      <c r="AE88" s="3">
        <f t="shared" si="110"/>
        <v>6.47</v>
      </c>
      <c r="AF88" s="3">
        <f t="shared" si="111"/>
        <v>5.9524</v>
      </c>
      <c r="AG88" s="4">
        <f t="shared" si="112"/>
        <v>13.587</v>
      </c>
      <c r="AH88" s="8">
        <f t="shared" si="94"/>
        <v>6.47</v>
      </c>
      <c r="AI88" s="8">
        <f t="shared" si="85"/>
        <v>6.47</v>
      </c>
      <c r="AJ88" s="4">
        <f t="shared" si="113"/>
        <v>8.7992</v>
      </c>
      <c r="AK88" s="1">
        <f t="shared" si="114"/>
        <v>6.47</v>
      </c>
      <c r="AL88" s="1">
        <f t="shared" si="115"/>
        <v>6.47</v>
      </c>
      <c r="AM88" s="2">
        <f t="shared" si="116"/>
        <v>6.47</v>
      </c>
      <c r="AN88" s="2">
        <f t="shared" si="117"/>
        <v>6.47</v>
      </c>
      <c r="AO88" s="3">
        <f t="shared" si="118"/>
        <v>5.71</v>
      </c>
      <c r="AP88" s="3">
        <f t="shared" si="133"/>
        <v>6.47</v>
      </c>
      <c r="AQ88" s="7">
        <f t="shared" si="119"/>
        <v>9.705</v>
      </c>
      <c r="AR88" s="1">
        <f t="shared" si="86"/>
        <v>14.275</v>
      </c>
      <c r="AS88" s="1">
        <f t="shared" si="120"/>
        <v>6.47</v>
      </c>
      <c r="AT88" s="3">
        <f t="shared" si="121"/>
        <v>7.764</v>
      </c>
      <c r="AU88" s="1">
        <f t="shared" si="136"/>
        <v>6.281000000000001</v>
      </c>
      <c r="AV88" s="1">
        <f t="shared" si="122"/>
        <v>6.47</v>
      </c>
      <c r="AW88" s="4">
        <f t="shared" si="138"/>
        <v>6.1465</v>
      </c>
      <c r="AX88" s="3" t="str">
        <f t="shared" si="123"/>
        <v>5.69 Per Unit</v>
      </c>
      <c r="AY88" s="3">
        <f t="shared" si="124"/>
        <v>6.47</v>
      </c>
      <c r="AZ88" s="1">
        <f t="shared" si="87"/>
        <v>6.47</v>
      </c>
      <c r="BA88" s="3">
        <f t="shared" si="88"/>
        <v>6.47</v>
      </c>
      <c r="BB88" s="3">
        <f t="shared" si="89"/>
        <v>6.47</v>
      </c>
      <c r="BC88" s="3">
        <f t="shared" si="90"/>
        <v>7.117</v>
      </c>
      <c r="BD88" s="3">
        <f t="shared" si="91"/>
        <v>5.8229999999999995</v>
      </c>
      <c r="BE88" s="3">
        <f t="shared" si="125"/>
        <v>16.4985</v>
      </c>
      <c r="BF88" s="1">
        <f t="shared" si="126"/>
        <v>6.47</v>
      </c>
      <c r="BG88" s="8" t="str">
        <f t="shared" si="127"/>
        <v>6.15 Per Unit</v>
      </c>
      <c r="BH88" s="4">
        <f t="shared" si="134"/>
        <v>7.763999999999999</v>
      </c>
      <c r="BI88" s="1">
        <f t="shared" si="135"/>
        <v>6.47</v>
      </c>
      <c r="BJ88" s="3">
        <f t="shared" si="128"/>
        <v>6.1465</v>
      </c>
      <c r="BK88" s="1">
        <f t="shared" si="129"/>
        <v>6.47</v>
      </c>
      <c r="BL88" s="3">
        <v>5.8229999999999995</v>
      </c>
      <c r="BM88" s="8">
        <f t="shared" si="130"/>
        <v>6.47</v>
      </c>
      <c r="BN88" s="3">
        <f>MIN(N88:BM88:BM88)</f>
        <v>5.71</v>
      </c>
      <c r="BO88" s="3">
        <f t="shared" si="131"/>
        <v>28.385599880218486</v>
      </c>
    </row>
    <row r="89" spans="1:67" ht="19.5" customHeight="1">
      <c r="A89" s="10">
        <f t="shared" si="137"/>
        <v>88</v>
      </c>
      <c r="B89" s="23">
        <v>85610</v>
      </c>
      <c r="C89" s="6">
        <v>3058561000</v>
      </c>
      <c r="D89" s="29" t="s">
        <v>1</v>
      </c>
      <c r="E89" s="11" t="s">
        <v>371</v>
      </c>
      <c r="F89" s="45">
        <v>12.87</v>
      </c>
      <c r="G89" s="23">
        <v>305</v>
      </c>
      <c r="H89" s="48">
        <v>0</v>
      </c>
      <c r="I89" s="6">
        <v>0</v>
      </c>
      <c r="J89" s="8">
        <f t="shared" si="97"/>
        <v>5.577</v>
      </c>
      <c r="K89" s="24" t="s">
        <v>386</v>
      </c>
      <c r="L89" s="3">
        <v>4.29</v>
      </c>
      <c r="M89" s="3">
        <v>3.49</v>
      </c>
      <c r="N89" s="17">
        <f>4.7*1.8</f>
        <v>8.46</v>
      </c>
      <c r="O89" s="8">
        <f t="shared" si="98"/>
        <v>4.29</v>
      </c>
      <c r="P89" s="7">
        <f t="shared" si="132"/>
        <v>8.365499999999999</v>
      </c>
      <c r="Q89" s="1">
        <f t="shared" si="99"/>
        <v>4.29</v>
      </c>
      <c r="R89" s="4">
        <f t="shared" si="100"/>
        <v>4.719</v>
      </c>
      <c r="S89" s="1">
        <f t="shared" si="101"/>
        <v>4.29</v>
      </c>
      <c r="T89" s="1">
        <v>5.85</v>
      </c>
      <c r="U89" s="27">
        <f>5.48999977111816*3.14</f>
        <v>17.23859928131102</v>
      </c>
      <c r="V89" s="3">
        <f t="shared" si="102"/>
        <v>4.29</v>
      </c>
      <c r="W89" s="3">
        <f t="shared" si="103"/>
        <v>4.29</v>
      </c>
      <c r="X89" s="3">
        <f t="shared" si="104"/>
        <v>4.29</v>
      </c>
      <c r="Y89" s="3">
        <v>6.29</v>
      </c>
      <c r="Z89" s="3">
        <f t="shared" si="105"/>
        <v>4.0755</v>
      </c>
      <c r="AA89" s="3">
        <f t="shared" si="106"/>
        <v>4.0755</v>
      </c>
      <c r="AB89" s="3">
        <f t="shared" si="107"/>
        <v>4.29</v>
      </c>
      <c r="AC89" s="4">
        <f t="shared" si="108"/>
        <v>4.5045</v>
      </c>
      <c r="AD89" s="3">
        <f t="shared" si="109"/>
        <v>4.29</v>
      </c>
      <c r="AE89" s="3">
        <f t="shared" si="110"/>
        <v>4.29</v>
      </c>
      <c r="AF89" s="3">
        <f t="shared" si="111"/>
        <v>3.9468</v>
      </c>
      <c r="AG89" s="4">
        <f t="shared" si="112"/>
        <v>9.008999999999999</v>
      </c>
      <c r="AH89" s="8">
        <f t="shared" si="94"/>
        <v>4.29</v>
      </c>
      <c r="AI89" s="8">
        <f t="shared" si="85"/>
        <v>4.29</v>
      </c>
      <c r="AJ89" s="4">
        <f t="shared" si="113"/>
        <v>5.8344000000000005</v>
      </c>
      <c r="AK89" s="1">
        <f t="shared" si="114"/>
        <v>4.29</v>
      </c>
      <c r="AL89" s="1">
        <f t="shared" si="115"/>
        <v>4.29</v>
      </c>
      <c r="AM89" s="2">
        <f t="shared" si="116"/>
        <v>4.29</v>
      </c>
      <c r="AN89" s="2">
        <f t="shared" si="117"/>
        <v>4.29</v>
      </c>
      <c r="AO89" s="3">
        <f t="shared" si="118"/>
        <v>3.49</v>
      </c>
      <c r="AP89" s="3">
        <f t="shared" si="133"/>
        <v>4.29</v>
      </c>
      <c r="AQ89" s="7">
        <f t="shared" si="119"/>
        <v>6.435</v>
      </c>
      <c r="AR89" s="1">
        <f t="shared" si="86"/>
        <v>8.725000000000001</v>
      </c>
      <c r="AS89" s="1">
        <f t="shared" si="120"/>
        <v>4.29</v>
      </c>
      <c r="AT89" s="3">
        <f t="shared" si="121"/>
        <v>5.148</v>
      </c>
      <c r="AU89" s="1">
        <f t="shared" si="136"/>
        <v>3.8390000000000004</v>
      </c>
      <c r="AV89" s="1">
        <f t="shared" si="122"/>
        <v>4.29</v>
      </c>
      <c r="AW89" s="4">
        <f t="shared" si="138"/>
        <v>4.0755</v>
      </c>
      <c r="AX89" s="3" t="str">
        <f t="shared" si="123"/>
        <v>3.78 Per Unit</v>
      </c>
      <c r="AY89" s="3">
        <f t="shared" si="124"/>
        <v>4.29</v>
      </c>
      <c r="AZ89" s="1">
        <f t="shared" si="87"/>
        <v>4.29</v>
      </c>
      <c r="BA89" s="3">
        <f t="shared" si="88"/>
        <v>4.29</v>
      </c>
      <c r="BB89" s="3">
        <f t="shared" si="89"/>
        <v>4.29</v>
      </c>
      <c r="BC89" s="3">
        <f t="shared" si="90"/>
        <v>4.719</v>
      </c>
      <c r="BD89" s="3">
        <f t="shared" si="91"/>
        <v>3.861</v>
      </c>
      <c r="BE89" s="3">
        <f t="shared" si="125"/>
        <v>10.939499999999999</v>
      </c>
      <c r="BF89" s="1">
        <f t="shared" si="126"/>
        <v>4.29</v>
      </c>
      <c r="BG89" s="8" t="str">
        <f t="shared" si="127"/>
        <v>4.08 Per Unit</v>
      </c>
      <c r="BH89" s="4">
        <f t="shared" si="134"/>
        <v>5.148</v>
      </c>
      <c r="BI89" s="1">
        <f t="shared" si="135"/>
        <v>4.29</v>
      </c>
      <c r="BJ89" s="3">
        <f t="shared" si="128"/>
        <v>4.0755</v>
      </c>
      <c r="BK89" s="1">
        <f t="shared" si="129"/>
        <v>4.29</v>
      </c>
      <c r="BL89" s="3">
        <v>3.861</v>
      </c>
      <c r="BM89" s="8">
        <f t="shared" si="130"/>
        <v>4.29</v>
      </c>
      <c r="BN89" s="3">
        <f>MIN(N89:BM89:BM89)</f>
        <v>3.49</v>
      </c>
      <c r="BO89" s="3">
        <f t="shared" si="131"/>
        <v>17.23859928131102</v>
      </c>
    </row>
    <row r="90" spans="1:67" ht="19.5" customHeight="1">
      <c r="A90" s="10">
        <f t="shared" si="137"/>
        <v>89</v>
      </c>
      <c r="B90" s="23">
        <v>84165</v>
      </c>
      <c r="C90" s="23">
        <v>3018416500</v>
      </c>
      <c r="D90" s="29" t="s">
        <v>10</v>
      </c>
      <c r="E90" s="11" t="s">
        <v>371</v>
      </c>
      <c r="F90" s="45">
        <v>32.22</v>
      </c>
      <c r="G90" s="23">
        <v>301</v>
      </c>
      <c r="H90" s="48">
        <v>0</v>
      </c>
      <c r="I90" s="6">
        <v>0</v>
      </c>
      <c r="J90" s="8">
        <f t="shared" si="97"/>
        <v>13.962000000000002</v>
      </c>
      <c r="K90" s="24" t="s">
        <v>386</v>
      </c>
      <c r="L90" s="3">
        <v>10.74</v>
      </c>
      <c r="M90" s="3">
        <v>9.55</v>
      </c>
      <c r="N90" s="5">
        <f>12.85*1.8</f>
        <v>23.13</v>
      </c>
      <c r="O90" s="8">
        <f t="shared" si="98"/>
        <v>10.74</v>
      </c>
      <c r="P90" s="7">
        <f t="shared" si="132"/>
        <v>20.943</v>
      </c>
      <c r="Q90" s="1">
        <f t="shared" si="99"/>
        <v>10.74</v>
      </c>
      <c r="R90" s="4">
        <f t="shared" si="100"/>
        <v>11.814000000000002</v>
      </c>
      <c r="S90" s="1">
        <f t="shared" si="101"/>
        <v>10.74</v>
      </c>
      <c r="T90" s="1">
        <v>15.97</v>
      </c>
      <c r="U90" s="27">
        <f>15.0100002288818*3.14</f>
        <v>47.13140071868885</v>
      </c>
      <c r="V90" s="3">
        <f t="shared" si="102"/>
        <v>10.74</v>
      </c>
      <c r="W90" s="3">
        <f t="shared" si="103"/>
        <v>10.74</v>
      </c>
      <c r="X90" s="3">
        <f t="shared" si="104"/>
        <v>10.74</v>
      </c>
      <c r="Y90" s="3">
        <v>15.71</v>
      </c>
      <c r="Z90" s="3">
        <f t="shared" si="105"/>
        <v>10.203</v>
      </c>
      <c r="AA90" s="3">
        <f t="shared" si="106"/>
        <v>10.203</v>
      </c>
      <c r="AB90" s="3">
        <f t="shared" si="107"/>
        <v>10.74</v>
      </c>
      <c r="AC90" s="4">
        <f t="shared" si="108"/>
        <v>11.277000000000001</v>
      </c>
      <c r="AD90" s="3">
        <f t="shared" si="109"/>
        <v>10.74</v>
      </c>
      <c r="AE90" s="3">
        <f t="shared" si="110"/>
        <v>10.74</v>
      </c>
      <c r="AF90" s="3">
        <f t="shared" si="111"/>
        <v>9.8808</v>
      </c>
      <c r="AG90" s="4">
        <f t="shared" si="112"/>
        <v>22.554</v>
      </c>
      <c r="AH90" s="8">
        <f t="shared" si="94"/>
        <v>10.74</v>
      </c>
      <c r="AI90" s="8">
        <f t="shared" si="85"/>
        <v>10.74</v>
      </c>
      <c r="AJ90" s="4">
        <f t="shared" si="113"/>
        <v>14.6064</v>
      </c>
      <c r="AK90" s="1">
        <f t="shared" si="114"/>
        <v>10.74</v>
      </c>
      <c r="AL90" s="1">
        <f t="shared" si="115"/>
        <v>10.74</v>
      </c>
      <c r="AM90" s="2">
        <f t="shared" si="116"/>
        <v>10.74</v>
      </c>
      <c r="AN90" s="2">
        <f t="shared" si="117"/>
        <v>10.74</v>
      </c>
      <c r="AO90" s="3">
        <f t="shared" si="118"/>
        <v>9.55</v>
      </c>
      <c r="AP90" s="3">
        <f t="shared" si="133"/>
        <v>10.74</v>
      </c>
      <c r="AQ90" s="7">
        <f t="shared" si="119"/>
        <v>16.11</v>
      </c>
      <c r="AR90" s="1">
        <f t="shared" si="86"/>
        <v>23.875</v>
      </c>
      <c r="AS90" s="1">
        <f t="shared" si="120"/>
        <v>10.74</v>
      </c>
      <c r="AT90" s="3">
        <f t="shared" si="121"/>
        <v>12.888</v>
      </c>
      <c r="AU90" s="3">
        <f t="shared" si="136"/>
        <v>10.505</v>
      </c>
      <c r="AV90" s="1">
        <f t="shared" si="122"/>
        <v>10.74</v>
      </c>
      <c r="AW90" s="4">
        <f t="shared" si="138"/>
        <v>10.203</v>
      </c>
      <c r="AX90" s="3" t="str">
        <f t="shared" si="123"/>
        <v>9.45 Per Unit</v>
      </c>
      <c r="AY90" s="3">
        <f t="shared" si="124"/>
        <v>10.74</v>
      </c>
      <c r="AZ90" s="1">
        <f t="shared" si="87"/>
        <v>10.74</v>
      </c>
      <c r="BA90" s="3">
        <f t="shared" si="88"/>
        <v>10.74</v>
      </c>
      <c r="BB90" s="3">
        <f t="shared" si="89"/>
        <v>10.74</v>
      </c>
      <c r="BC90" s="3">
        <f t="shared" si="90"/>
        <v>11.814000000000002</v>
      </c>
      <c r="BD90" s="3">
        <f t="shared" si="91"/>
        <v>9.666</v>
      </c>
      <c r="BE90" s="3">
        <f t="shared" si="125"/>
        <v>27.386999999999997</v>
      </c>
      <c r="BF90" s="1">
        <f t="shared" si="126"/>
        <v>10.74</v>
      </c>
      <c r="BG90" s="8" t="str">
        <f t="shared" si="127"/>
        <v>10.2 Per Unit</v>
      </c>
      <c r="BH90" s="4">
        <f t="shared" si="134"/>
        <v>12.888</v>
      </c>
      <c r="BI90" s="1">
        <f t="shared" si="135"/>
        <v>10.74</v>
      </c>
      <c r="BJ90" s="3">
        <f t="shared" si="128"/>
        <v>10.203</v>
      </c>
      <c r="BK90" s="1">
        <f t="shared" si="129"/>
        <v>10.74</v>
      </c>
      <c r="BL90" s="3">
        <v>9.666</v>
      </c>
      <c r="BM90" s="8">
        <f t="shared" si="130"/>
        <v>10.74</v>
      </c>
      <c r="BN90" s="3">
        <f>MIN(N90:BM90:BM90)</f>
        <v>9.55</v>
      </c>
      <c r="BO90" s="3">
        <f t="shared" si="131"/>
        <v>47.13140071868885</v>
      </c>
    </row>
    <row r="91" spans="1:67" ht="19.5" customHeight="1">
      <c r="A91" s="10">
        <f t="shared" si="137"/>
        <v>90</v>
      </c>
      <c r="B91" s="23">
        <v>84156</v>
      </c>
      <c r="C91" s="6">
        <v>3018415600</v>
      </c>
      <c r="D91" s="29" t="s">
        <v>20</v>
      </c>
      <c r="E91" s="11" t="s">
        <v>371</v>
      </c>
      <c r="F91" s="45">
        <v>11.01</v>
      </c>
      <c r="G91" s="23">
        <v>301</v>
      </c>
      <c r="H91" s="48">
        <v>0</v>
      </c>
      <c r="I91" s="6">
        <v>0</v>
      </c>
      <c r="J91" s="8">
        <f t="shared" si="97"/>
        <v>4.771</v>
      </c>
      <c r="K91" s="24" t="s">
        <v>386</v>
      </c>
      <c r="L91" s="4">
        <v>3.67</v>
      </c>
      <c r="M91" s="3">
        <v>3.26</v>
      </c>
      <c r="N91" s="5">
        <f>4.39*1.8</f>
        <v>7.901999999999999</v>
      </c>
      <c r="O91" s="8">
        <f t="shared" si="98"/>
        <v>3.67</v>
      </c>
      <c r="P91" s="7">
        <f t="shared" si="132"/>
        <v>7.1565</v>
      </c>
      <c r="Q91" s="1">
        <f t="shared" si="99"/>
        <v>3.67</v>
      </c>
      <c r="R91" s="4">
        <f t="shared" si="100"/>
        <v>4.037</v>
      </c>
      <c r="S91" s="1">
        <f t="shared" si="101"/>
        <v>3.67</v>
      </c>
      <c r="T91" s="1">
        <v>5.46</v>
      </c>
      <c r="U91" s="27">
        <f>5.11999988555908*3.14</f>
        <v>16.076799640655512</v>
      </c>
      <c r="V91" s="3">
        <f t="shared" si="102"/>
        <v>3.67</v>
      </c>
      <c r="W91" s="3">
        <f t="shared" si="103"/>
        <v>3.67</v>
      </c>
      <c r="X91" s="3">
        <f t="shared" si="104"/>
        <v>3.67</v>
      </c>
      <c r="Y91" s="3">
        <v>5.39</v>
      </c>
      <c r="Z91" s="3">
        <f t="shared" si="105"/>
        <v>3.4865</v>
      </c>
      <c r="AA91" s="3">
        <f t="shared" si="106"/>
        <v>3.4865</v>
      </c>
      <c r="AB91" s="3">
        <f t="shared" si="107"/>
        <v>3.67</v>
      </c>
      <c r="AC91" s="4">
        <f t="shared" si="108"/>
        <v>3.8535</v>
      </c>
      <c r="AD91" s="3">
        <f t="shared" si="109"/>
        <v>3.67</v>
      </c>
      <c r="AE91" s="3">
        <f t="shared" si="110"/>
        <v>3.67</v>
      </c>
      <c r="AF91" s="3">
        <f t="shared" si="111"/>
        <v>3.3764000000000003</v>
      </c>
      <c r="AG91" s="4">
        <f t="shared" si="112"/>
        <v>7.706999999999999</v>
      </c>
      <c r="AH91" s="8">
        <f t="shared" si="94"/>
        <v>3.67</v>
      </c>
      <c r="AI91" s="8">
        <f t="shared" si="85"/>
        <v>3.67</v>
      </c>
      <c r="AJ91" s="4">
        <f t="shared" si="113"/>
        <v>4.9912</v>
      </c>
      <c r="AK91" s="1">
        <f t="shared" si="114"/>
        <v>3.67</v>
      </c>
      <c r="AL91" s="1">
        <f t="shared" si="115"/>
        <v>3.67</v>
      </c>
      <c r="AM91" s="2">
        <f t="shared" si="116"/>
        <v>3.67</v>
      </c>
      <c r="AN91" s="2">
        <f t="shared" si="117"/>
        <v>3.67</v>
      </c>
      <c r="AO91" s="3">
        <f t="shared" si="118"/>
        <v>3.26</v>
      </c>
      <c r="AP91" s="3">
        <f t="shared" si="133"/>
        <v>3.67</v>
      </c>
      <c r="AQ91" s="7">
        <f t="shared" si="119"/>
        <v>5.505</v>
      </c>
      <c r="AR91" s="1">
        <f t="shared" si="86"/>
        <v>8.149999999999999</v>
      </c>
      <c r="AS91" s="1">
        <f t="shared" si="120"/>
        <v>3.67</v>
      </c>
      <c r="AT91" s="3">
        <f t="shared" si="121"/>
        <v>4.404</v>
      </c>
      <c r="AU91" s="3">
        <f t="shared" si="136"/>
        <v>3.586</v>
      </c>
      <c r="AV91" s="1">
        <f t="shared" si="122"/>
        <v>3.67</v>
      </c>
      <c r="AW91" s="4">
        <f t="shared" si="138"/>
        <v>3.4865</v>
      </c>
      <c r="AX91" s="3" t="str">
        <f t="shared" si="123"/>
        <v>3.23 Per Unit</v>
      </c>
      <c r="AY91" s="3">
        <f t="shared" si="124"/>
        <v>3.67</v>
      </c>
      <c r="AZ91" s="1">
        <f t="shared" si="87"/>
        <v>3.67</v>
      </c>
      <c r="BA91" s="3">
        <f t="shared" si="88"/>
        <v>3.67</v>
      </c>
      <c r="BB91" s="3">
        <f t="shared" si="89"/>
        <v>3.67</v>
      </c>
      <c r="BC91" s="3">
        <f t="shared" si="90"/>
        <v>4.037</v>
      </c>
      <c r="BD91" s="3">
        <f t="shared" si="91"/>
        <v>3.303</v>
      </c>
      <c r="BE91" s="3">
        <f t="shared" si="125"/>
        <v>9.3585</v>
      </c>
      <c r="BF91" s="1">
        <f t="shared" si="126"/>
        <v>3.67</v>
      </c>
      <c r="BG91" s="8" t="str">
        <f t="shared" si="127"/>
        <v>3.49 Per Unit</v>
      </c>
      <c r="BH91" s="4">
        <f t="shared" si="134"/>
        <v>4.404</v>
      </c>
      <c r="BI91" s="1">
        <f t="shared" si="135"/>
        <v>3.67</v>
      </c>
      <c r="BJ91" s="3">
        <f t="shared" si="128"/>
        <v>3.4865</v>
      </c>
      <c r="BK91" s="1">
        <f t="shared" si="129"/>
        <v>3.67</v>
      </c>
      <c r="BL91" s="3">
        <v>3.303</v>
      </c>
      <c r="BM91" s="8">
        <f t="shared" si="130"/>
        <v>3.67</v>
      </c>
      <c r="BN91" s="3">
        <f>MIN(N91:BM91:BM91)</f>
        <v>3.26</v>
      </c>
      <c r="BO91" s="3">
        <f t="shared" si="131"/>
        <v>16.076799640655512</v>
      </c>
    </row>
    <row r="92" spans="1:67" ht="19.5" customHeight="1">
      <c r="A92" s="10">
        <f t="shared" si="137"/>
        <v>91</v>
      </c>
      <c r="B92" s="23">
        <v>82550</v>
      </c>
      <c r="C92" s="6">
        <v>3018255000</v>
      </c>
      <c r="D92" s="30" t="s">
        <v>203</v>
      </c>
      <c r="E92" s="11" t="s">
        <v>371</v>
      </c>
      <c r="F92" s="45">
        <v>19.53</v>
      </c>
      <c r="G92" s="23">
        <v>301</v>
      </c>
      <c r="H92" s="48">
        <v>0</v>
      </c>
      <c r="I92" s="6">
        <v>0</v>
      </c>
      <c r="J92" s="8">
        <f t="shared" si="97"/>
        <v>8.463</v>
      </c>
      <c r="K92" s="24" t="s">
        <v>386</v>
      </c>
      <c r="L92" s="3">
        <v>6.51</v>
      </c>
      <c r="M92" s="3">
        <v>5.79</v>
      </c>
      <c r="N92" s="5">
        <f>7.79*1.8</f>
        <v>14.022</v>
      </c>
      <c r="O92" s="8">
        <f t="shared" si="98"/>
        <v>6.51</v>
      </c>
      <c r="P92" s="7">
        <f t="shared" si="132"/>
        <v>12.694500000000001</v>
      </c>
      <c r="Q92" s="1">
        <f t="shared" si="99"/>
        <v>6.51</v>
      </c>
      <c r="R92" s="4">
        <f t="shared" si="100"/>
        <v>7.1610000000000005</v>
      </c>
      <c r="S92" s="1">
        <f t="shared" si="101"/>
        <v>6.51</v>
      </c>
      <c r="T92" s="1">
        <v>9.74</v>
      </c>
      <c r="U92" s="27">
        <f>9.10000038146972*3.14</f>
        <v>28.57400119781492</v>
      </c>
      <c r="V92" s="3">
        <f t="shared" si="102"/>
        <v>6.51</v>
      </c>
      <c r="W92" s="3">
        <f t="shared" si="103"/>
        <v>6.51</v>
      </c>
      <c r="X92" s="3">
        <f t="shared" si="104"/>
        <v>6.51</v>
      </c>
      <c r="Y92" s="3">
        <v>9.53</v>
      </c>
      <c r="Z92" s="3">
        <f t="shared" si="105"/>
        <v>6.1845</v>
      </c>
      <c r="AA92" s="3">
        <f t="shared" si="106"/>
        <v>6.1845</v>
      </c>
      <c r="AB92" s="3">
        <f t="shared" si="107"/>
        <v>6.51</v>
      </c>
      <c r="AC92" s="4">
        <f t="shared" si="108"/>
        <v>6.8355</v>
      </c>
      <c r="AD92" s="3">
        <f t="shared" si="109"/>
        <v>6.51</v>
      </c>
      <c r="AE92" s="3">
        <f t="shared" si="110"/>
        <v>6.51</v>
      </c>
      <c r="AF92" s="3">
        <f t="shared" si="111"/>
        <v>5.9892</v>
      </c>
      <c r="AG92" s="4">
        <f t="shared" si="112"/>
        <v>13.671</v>
      </c>
      <c r="AH92" s="8">
        <f t="shared" si="94"/>
        <v>6.51</v>
      </c>
      <c r="AI92" s="8">
        <f t="shared" si="85"/>
        <v>6.51</v>
      </c>
      <c r="AJ92" s="4">
        <f t="shared" si="113"/>
        <v>8.8536</v>
      </c>
      <c r="AK92" s="1">
        <f t="shared" si="114"/>
        <v>6.51</v>
      </c>
      <c r="AL92" s="1">
        <f t="shared" si="115"/>
        <v>6.51</v>
      </c>
      <c r="AM92" s="2">
        <f t="shared" si="116"/>
        <v>6.51</v>
      </c>
      <c r="AN92" s="2">
        <f t="shared" si="117"/>
        <v>6.51</v>
      </c>
      <c r="AO92" s="3">
        <f t="shared" si="118"/>
        <v>5.79</v>
      </c>
      <c r="AP92" s="3">
        <f t="shared" si="133"/>
        <v>6.51</v>
      </c>
      <c r="AQ92" s="7">
        <f t="shared" si="119"/>
        <v>9.765</v>
      </c>
      <c r="AR92" s="1">
        <f t="shared" si="86"/>
        <v>14.475</v>
      </c>
      <c r="AS92" s="1">
        <f t="shared" si="120"/>
        <v>6.51</v>
      </c>
      <c r="AT92" s="3">
        <f t="shared" si="121"/>
        <v>7.812000000000001</v>
      </c>
      <c r="AU92" s="3">
        <f t="shared" si="136"/>
        <v>6.369000000000001</v>
      </c>
      <c r="AV92" s="1">
        <f t="shared" si="122"/>
        <v>6.51</v>
      </c>
      <c r="AW92" s="4">
        <f t="shared" si="138"/>
        <v>6.1845</v>
      </c>
      <c r="AX92" s="3" t="str">
        <f t="shared" si="123"/>
        <v>5.73 Per Unit</v>
      </c>
      <c r="AY92" s="3">
        <f t="shared" si="124"/>
        <v>6.51</v>
      </c>
      <c r="AZ92" s="1">
        <f t="shared" si="87"/>
        <v>6.51</v>
      </c>
      <c r="BA92" s="3">
        <f t="shared" si="88"/>
        <v>6.51</v>
      </c>
      <c r="BB92" s="3">
        <f t="shared" si="89"/>
        <v>6.51</v>
      </c>
      <c r="BC92" s="3">
        <f t="shared" si="90"/>
        <v>7.1610000000000005</v>
      </c>
      <c r="BD92" s="3">
        <f t="shared" si="91"/>
        <v>5.859</v>
      </c>
      <c r="BE92" s="3">
        <f t="shared" si="125"/>
        <v>16.6005</v>
      </c>
      <c r="BF92" s="1">
        <f t="shared" si="126"/>
        <v>6.51</v>
      </c>
      <c r="BG92" s="8" t="str">
        <f t="shared" si="127"/>
        <v>6.18 Per Unit</v>
      </c>
      <c r="BH92" s="4">
        <f t="shared" si="134"/>
        <v>7.811999999999999</v>
      </c>
      <c r="BI92" s="1">
        <f t="shared" si="135"/>
        <v>6.51</v>
      </c>
      <c r="BJ92" s="3">
        <f t="shared" si="128"/>
        <v>6.1845</v>
      </c>
      <c r="BK92" s="1">
        <f t="shared" si="129"/>
        <v>6.51</v>
      </c>
      <c r="BL92" s="3">
        <v>5.859</v>
      </c>
      <c r="BM92" s="8">
        <f t="shared" si="130"/>
        <v>6.51</v>
      </c>
      <c r="BN92" s="3">
        <f>MIN(N92:BM92:BM92)</f>
        <v>5.79</v>
      </c>
      <c r="BO92" s="3">
        <f t="shared" si="131"/>
        <v>28.57400119781492</v>
      </c>
    </row>
    <row r="93" spans="1:67" ht="19.5" customHeight="1">
      <c r="A93" s="10">
        <f t="shared" si="137"/>
        <v>92</v>
      </c>
      <c r="B93" s="23">
        <v>86334</v>
      </c>
      <c r="C93" s="23">
        <v>3028633400</v>
      </c>
      <c r="D93" s="29" t="s">
        <v>29</v>
      </c>
      <c r="E93" s="11" t="s">
        <v>371</v>
      </c>
      <c r="F93" s="45">
        <v>67.02</v>
      </c>
      <c r="G93" s="23">
        <v>302</v>
      </c>
      <c r="H93" s="48">
        <v>0</v>
      </c>
      <c r="I93" s="6">
        <v>0</v>
      </c>
      <c r="J93" s="8">
        <f t="shared" si="97"/>
        <v>29.042</v>
      </c>
      <c r="K93" s="24" t="s">
        <v>386</v>
      </c>
      <c r="L93" s="4">
        <v>22.34</v>
      </c>
      <c r="M93" s="3">
        <v>19.86</v>
      </c>
      <c r="N93" s="5">
        <f>26.72*1.8</f>
        <v>48.096</v>
      </c>
      <c r="O93" s="8">
        <f t="shared" si="98"/>
        <v>22.34</v>
      </c>
      <c r="P93" s="7">
        <f t="shared" si="132"/>
        <v>43.563</v>
      </c>
      <c r="Q93" s="1">
        <f t="shared" si="99"/>
        <v>22.34</v>
      </c>
      <c r="R93" s="4">
        <f t="shared" si="100"/>
        <v>24.574</v>
      </c>
      <c r="S93" s="1">
        <f t="shared" si="101"/>
        <v>22.34</v>
      </c>
      <c r="T93" s="1">
        <v>33.18</v>
      </c>
      <c r="U93" s="27">
        <f>31.2099990844726*3.14</f>
        <v>97.99939712524396</v>
      </c>
      <c r="V93" s="3">
        <f t="shared" si="102"/>
        <v>22.34</v>
      </c>
      <c r="W93" s="3">
        <f t="shared" si="103"/>
        <v>22.34</v>
      </c>
      <c r="X93" s="3">
        <f t="shared" si="104"/>
        <v>22.34</v>
      </c>
      <c r="Y93" s="3">
        <v>32.67</v>
      </c>
      <c r="Z93" s="3">
        <f t="shared" si="105"/>
        <v>21.223</v>
      </c>
      <c r="AA93" s="3">
        <f t="shared" si="106"/>
        <v>21.223</v>
      </c>
      <c r="AB93" s="3">
        <f t="shared" si="107"/>
        <v>22.34</v>
      </c>
      <c r="AC93" s="4">
        <f t="shared" si="108"/>
        <v>23.457</v>
      </c>
      <c r="AD93" s="3">
        <f t="shared" si="109"/>
        <v>22.34</v>
      </c>
      <c r="AE93" s="3">
        <f t="shared" si="110"/>
        <v>22.34</v>
      </c>
      <c r="AF93" s="3">
        <f t="shared" si="111"/>
        <v>20.5528</v>
      </c>
      <c r="AG93" s="4">
        <f t="shared" si="112"/>
        <v>46.913999999999994</v>
      </c>
      <c r="AH93" s="8">
        <f t="shared" si="94"/>
        <v>22.34</v>
      </c>
      <c r="AI93" s="8">
        <f t="shared" si="85"/>
        <v>22.34</v>
      </c>
      <c r="AJ93" s="4">
        <f t="shared" si="113"/>
        <v>30.3824</v>
      </c>
      <c r="AK93" s="1">
        <f t="shared" si="114"/>
        <v>22.34</v>
      </c>
      <c r="AL93" s="1">
        <f t="shared" si="115"/>
        <v>22.34</v>
      </c>
      <c r="AM93" s="2">
        <f t="shared" si="116"/>
        <v>22.34</v>
      </c>
      <c r="AN93" s="2">
        <f t="shared" si="117"/>
        <v>22.34</v>
      </c>
      <c r="AO93" s="3">
        <f t="shared" si="118"/>
        <v>19.86</v>
      </c>
      <c r="AP93" s="3">
        <f t="shared" si="133"/>
        <v>22.34</v>
      </c>
      <c r="AQ93" s="7">
        <f t="shared" si="119"/>
        <v>33.51</v>
      </c>
      <c r="AR93" s="1">
        <f t="shared" si="86"/>
        <v>49.65</v>
      </c>
      <c r="AS93" s="1">
        <f t="shared" si="120"/>
        <v>22.34</v>
      </c>
      <c r="AT93" s="3">
        <f t="shared" si="121"/>
        <v>26.808</v>
      </c>
      <c r="AU93" s="3">
        <f t="shared" si="136"/>
        <v>21.846</v>
      </c>
      <c r="AV93" s="1">
        <f t="shared" si="122"/>
        <v>22.34</v>
      </c>
      <c r="AW93" s="4">
        <f t="shared" si="138"/>
        <v>21.223</v>
      </c>
      <c r="AX93" s="3" t="str">
        <f t="shared" si="123"/>
        <v>19.66 Per Unit</v>
      </c>
      <c r="AY93" s="3">
        <f t="shared" si="124"/>
        <v>22.34</v>
      </c>
      <c r="AZ93" s="1">
        <f t="shared" si="87"/>
        <v>22.34</v>
      </c>
      <c r="BA93" s="3">
        <f t="shared" si="88"/>
        <v>22.34</v>
      </c>
      <c r="BB93" s="3">
        <f t="shared" si="89"/>
        <v>22.34</v>
      </c>
      <c r="BC93" s="3">
        <f t="shared" si="90"/>
        <v>24.574</v>
      </c>
      <c r="BD93" s="3">
        <f t="shared" si="91"/>
        <v>20.106</v>
      </c>
      <c r="BE93" s="3">
        <f t="shared" si="125"/>
        <v>56.96699999999999</v>
      </c>
      <c r="BF93" s="1">
        <f t="shared" si="126"/>
        <v>22.34</v>
      </c>
      <c r="BG93" s="8" t="str">
        <f t="shared" si="127"/>
        <v>21.22 Per Unit</v>
      </c>
      <c r="BH93" s="4">
        <f t="shared" si="134"/>
        <v>26.808</v>
      </c>
      <c r="BI93" s="1">
        <f t="shared" si="135"/>
        <v>22.34</v>
      </c>
      <c r="BJ93" s="3">
        <f t="shared" si="128"/>
        <v>21.223</v>
      </c>
      <c r="BK93" s="1">
        <f t="shared" si="129"/>
        <v>22.34</v>
      </c>
      <c r="BL93" s="3">
        <v>20.106</v>
      </c>
      <c r="BM93" s="8">
        <f t="shared" si="130"/>
        <v>22.34</v>
      </c>
      <c r="BN93" s="3">
        <f>MIN(N93:BM93:BM93)</f>
        <v>19.86</v>
      </c>
      <c r="BO93" s="3">
        <f t="shared" si="131"/>
        <v>97.99939712524396</v>
      </c>
    </row>
    <row r="94" spans="1:67" ht="19.5" customHeight="1">
      <c r="A94" s="10">
        <f t="shared" si="137"/>
        <v>93</v>
      </c>
      <c r="B94" s="23">
        <v>83002</v>
      </c>
      <c r="C94" s="6">
        <v>3018300200</v>
      </c>
      <c r="D94" s="29" t="s">
        <v>339</v>
      </c>
      <c r="E94" s="11" t="s">
        <v>371</v>
      </c>
      <c r="F94" s="45">
        <v>55.56</v>
      </c>
      <c r="G94" s="23">
        <v>301</v>
      </c>
      <c r="H94" s="48">
        <v>0</v>
      </c>
      <c r="I94" s="6">
        <v>0</v>
      </c>
      <c r="J94" s="8">
        <f t="shared" si="97"/>
        <v>24.076</v>
      </c>
      <c r="K94" s="24" t="s">
        <v>386</v>
      </c>
      <c r="L94" s="3">
        <v>18.52</v>
      </c>
      <c r="M94" s="3">
        <v>16.38</v>
      </c>
      <c r="N94" s="5">
        <f>22.15*1.8</f>
        <v>39.87</v>
      </c>
      <c r="O94" s="8">
        <f t="shared" si="98"/>
        <v>18.52</v>
      </c>
      <c r="P94" s="7">
        <f t="shared" si="132"/>
        <v>36.114000000000004</v>
      </c>
      <c r="Q94" s="1">
        <f t="shared" si="99"/>
        <v>18.52</v>
      </c>
      <c r="R94" s="4">
        <f t="shared" si="100"/>
        <v>20.372</v>
      </c>
      <c r="S94" s="1">
        <f t="shared" si="101"/>
        <v>18.52</v>
      </c>
      <c r="T94" s="1">
        <v>27.51</v>
      </c>
      <c r="U94" s="27">
        <f>25.8799991607666*3.14</f>
        <v>81.26319736480713</v>
      </c>
      <c r="V94" s="3">
        <f t="shared" si="102"/>
        <v>18.52</v>
      </c>
      <c r="W94" s="3">
        <f t="shared" si="103"/>
        <v>18.52</v>
      </c>
      <c r="X94" s="3">
        <f t="shared" si="104"/>
        <v>18.52</v>
      </c>
      <c r="Y94" s="3">
        <v>27.09</v>
      </c>
      <c r="Z94" s="3">
        <f t="shared" si="105"/>
        <v>17.593999999999998</v>
      </c>
      <c r="AA94" s="3">
        <f t="shared" si="106"/>
        <v>17.593999999999998</v>
      </c>
      <c r="AB94" s="3">
        <f t="shared" si="107"/>
        <v>18.52</v>
      </c>
      <c r="AC94" s="4">
        <f t="shared" si="108"/>
        <v>19.446</v>
      </c>
      <c r="AD94" s="3">
        <f t="shared" si="109"/>
        <v>18.52</v>
      </c>
      <c r="AE94" s="3">
        <f t="shared" si="110"/>
        <v>18.52</v>
      </c>
      <c r="AF94" s="3">
        <f t="shared" si="111"/>
        <v>17.0384</v>
      </c>
      <c r="AG94" s="4">
        <f t="shared" si="112"/>
        <v>38.891999999999996</v>
      </c>
      <c r="AH94" s="8">
        <f t="shared" si="94"/>
        <v>18.52</v>
      </c>
      <c r="AI94" s="8">
        <f t="shared" si="85"/>
        <v>18.52</v>
      </c>
      <c r="AJ94" s="4">
        <f t="shared" si="113"/>
        <v>25.1872</v>
      </c>
      <c r="AK94" s="1">
        <f t="shared" si="114"/>
        <v>18.52</v>
      </c>
      <c r="AL94" s="1">
        <f t="shared" si="115"/>
        <v>18.52</v>
      </c>
      <c r="AM94" s="2">
        <f t="shared" si="116"/>
        <v>18.52</v>
      </c>
      <c r="AN94" s="2">
        <f t="shared" si="117"/>
        <v>18.52</v>
      </c>
      <c r="AO94" s="3">
        <f t="shared" si="118"/>
        <v>16.38</v>
      </c>
      <c r="AP94" s="3">
        <f t="shared" si="133"/>
        <v>18.52</v>
      </c>
      <c r="AQ94" s="7">
        <f t="shared" si="119"/>
        <v>27.78</v>
      </c>
      <c r="AR94" s="1">
        <f t="shared" si="86"/>
        <v>40.949999999999996</v>
      </c>
      <c r="AS94" s="1">
        <f t="shared" si="120"/>
        <v>18.52</v>
      </c>
      <c r="AT94" s="3">
        <f t="shared" si="121"/>
        <v>22.224000000000004</v>
      </c>
      <c r="AU94" s="3">
        <f t="shared" si="136"/>
        <v>18.018</v>
      </c>
      <c r="AV94" s="1">
        <f t="shared" si="122"/>
        <v>18.52</v>
      </c>
      <c r="AW94" s="4">
        <f t="shared" si="138"/>
        <v>17.593999999999998</v>
      </c>
      <c r="AX94" s="3" t="str">
        <f t="shared" si="123"/>
        <v>16.3 Per Unit</v>
      </c>
      <c r="AY94" s="3">
        <f t="shared" si="124"/>
        <v>18.52</v>
      </c>
      <c r="AZ94" s="1">
        <f t="shared" si="87"/>
        <v>18.52</v>
      </c>
      <c r="BA94" s="3">
        <f t="shared" si="88"/>
        <v>18.52</v>
      </c>
      <c r="BB94" s="3">
        <f t="shared" si="89"/>
        <v>18.52</v>
      </c>
      <c r="BC94" s="3">
        <f t="shared" si="90"/>
        <v>20.372</v>
      </c>
      <c r="BD94" s="3">
        <f t="shared" si="91"/>
        <v>16.668</v>
      </c>
      <c r="BE94" s="3">
        <f t="shared" si="125"/>
        <v>47.226</v>
      </c>
      <c r="BF94" s="1">
        <f t="shared" si="126"/>
        <v>18.52</v>
      </c>
      <c r="BG94" s="8" t="str">
        <f t="shared" si="127"/>
        <v>17.59 Per Unit</v>
      </c>
      <c r="BH94" s="4">
        <f t="shared" si="134"/>
        <v>22.224</v>
      </c>
      <c r="BI94" s="1">
        <f t="shared" si="135"/>
        <v>18.52</v>
      </c>
      <c r="BJ94" s="3">
        <f t="shared" si="128"/>
        <v>17.593999999999998</v>
      </c>
      <c r="BK94" s="1">
        <f t="shared" si="129"/>
        <v>18.52</v>
      </c>
      <c r="BL94" s="3">
        <v>16.668</v>
      </c>
      <c r="BM94" s="8">
        <f t="shared" si="130"/>
        <v>18.52</v>
      </c>
      <c r="BN94" s="3">
        <f>MIN(N94:BM94:BM94)</f>
        <v>16.38</v>
      </c>
      <c r="BO94" s="3">
        <f t="shared" si="131"/>
        <v>81.26319736480713</v>
      </c>
    </row>
    <row r="95" spans="1:69" ht="19.5" customHeight="1">
      <c r="A95" s="10">
        <f t="shared" si="137"/>
        <v>94</v>
      </c>
      <c r="B95" s="23">
        <v>86038</v>
      </c>
      <c r="C95" s="6">
        <v>3028603800</v>
      </c>
      <c r="D95" s="29" t="s">
        <v>26</v>
      </c>
      <c r="E95" s="11" t="s">
        <v>371</v>
      </c>
      <c r="F95" s="45">
        <v>36.27</v>
      </c>
      <c r="G95" s="23">
        <v>302</v>
      </c>
      <c r="H95" s="48">
        <v>0</v>
      </c>
      <c r="I95" s="6">
        <v>0</v>
      </c>
      <c r="J95" s="8">
        <f t="shared" si="97"/>
        <v>15.717</v>
      </c>
      <c r="K95" s="24" t="s">
        <v>386</v>
      </c>
      <c r="L95" s="4">
        <v>12.09</v>
      </c>
      <c r="M95" s="3">
        <v>10.63</v>
      </c>
      <c r="N95" s="5">
        <f>14.46*1.8</f>
        <v>26.028000000000002</v>
      </c>
      <c r="O95" s="8">
        <f t="shared" si="98"/>
        <v>12.09</v>
      </c>
      <c r="P95" s="7">
        <f t="shared" si="132"/>
        <v>23.5755</v>
      </c>
      <c r="Q95" s="1">
        <f t="shared" si="99"/>
        <v>12.09</v>
      </c>
      <c r="R95" s="4">
        <f t="shared" si="100"/>
        <v>13.299000000000001</v>
      </c>
      <c r="S95" s="1">
        <f t="shared" si="101"/>
        <v>12.09</v>
      </c>
      <c r="T95" s="1">
        <v>17.95</v>
      </c>
      <c r="U95" s="27">
        <f>16.8899993896484*3.14</f>
        <v>53.03459808349597</v>
      </c>
      <c r="V95" s="3">
        <f t="shared" si="102"/>
        <v>12.09</v>
      </c>
      <c r="W95" s="3">
        <f t="shared" si="103"/>
        <v>12.09</v>
      </c>
      <c r="X95" s="3">
        <f t="shared" si="104"/>
        <v>12.09</v>
      </c>
      <c r="Y95" s="3">
        <v>17.69</v>
      </c>
      <c r="Z95" s="3">
        <f t="shared" si="105"/>
        <v>11.4855</v>
      </c>
      <c r="AA95" s="3">
        <f t="shared" si="106"/>
        <v>11.4855</v>
      </c>
      <c r="AB95" s="3">
        <f t="shared" si="107"/>
        <v>12.09</v>
      </c>
      <c r="AC95" s="4">
        <f t="shared" si="108"/>
        <v>12.6945</v>
      </c>
      <c r="AD95" s="3">
        <f t="shared" si="109"/>
        <v>12.09</v>
      </c>
      <c r="AE95" s="3">
        <f t="shared" si="110"/>
        <v>12.09</v>
      </c>
      <c r="AF95" s="3">
        <f t="shared" si="111"/>
        <v>11.1228</v>
      </c>
      <c r="AG95" s="4">
        <f t="shared" si="112"/>
        <v>25.389</v>
      </c>
      <c r="AH95" s="8">
        <f t="shared" si="94"/>
        <v>12.09</v>
      </c>
      <c r="AI95" s="8">
        <f t="shared" si="85"/>
        <v>12.09</v>
      </c>
      <c r="AJ95" s="4">
        <f t="shared" si="113"/>
        <v>16.4424</v>
      </c>
      <c r="AK95" s="1">
        <f t="shared" si="114"/>
        <v>12.09</v>
      </c>
      <c r="AL95" s="1">
        <f t="shared" si="115"/>
        <v>12.09</v>
      </c>
      <c r="AM95" s="2">
        <f t="shared" si="116"/>
        <v>12.09</v>
      </c>
      <c r="AN95" s="2">
        <f t="shared" si="117"/>
        <v>12.09</v>
      </c>
      <c r="AO95" s="3">
        <f t="shared" si="118"/>
        <v>10.63</v>
      </c>
      <c r="AP95" s="3">
        <f t="shared" si="133"/>
        <v>12.09</v>
      </c>
      <c r="AQ95" s="7">
        <f t="shared" si="119"/>
        <v>18.135</v>
      </c>
      <c r="AR95" s="1">
        <f t="shared" si="86"/>
        <v>26.575000000000003</v>
      </c>
      <c r="AS95" s="1">
        <f t="shared" si="120"/>
        <v>12.09</v>
      </c>
      <c r="AT95" s="3">
        <f t="shared" si="121"/>
        <v>14.508000000000003</v>
      </c>
      <c r="AU95" s="3">
        <f t="shared" si="136"/>
        <v>11.693000000000001</v>
      </c>
      <c r="AV95" s="1">
        <f t="shared" si="122"/>
        <v>12.09</v>
      </c>
      <c r="AW95" s="4">
        <f t="shared" si="138"/>
        <v>11.4855</v>
      </c>
      <c r="AX95" s="3" t="str">
        <f t="shared" si="123"/>
        <v>10.64 Per Unit</v>
      </c>
      <c r="AY95" s="3">
        <f t="shared" si="124"/>
        <v>12.09</v>
      </c>
      <c r="AZ95" s="1">
        <f t="shared" si="87"/>
        <v>12.09</v>
      </c>
      <c r="BA95" s="3">
        <f t="shared" si="88"/>
        <v>12.09</v>
      </c>
      <c r="BB95" s="3">
        <f t="shared" si="89"/>
        <v>12.09</v>
      </c>
      <c r="BC95" s="3">
        <f t="shared" si="90"/>
        <v>13.299000000000001</v>
      </c>
      <c r="BD95" s="3">
        <f t="shared" si="91"/>
        <v>10.881</v>
      </c>
      <c r="BE95" s="3">
        <f t="shared" si="125"/>
        <v>30.829500000000003</v>
      </c>
      <c r="BF95" s="1">
        <f t="shared" si="126"/>
        <v>12.09</v>
      </c>
      <c r="BG95" s="8" t="str">
        <f t="shared" si="127"/>
        <v>11.49 Per Unit</v>
      </c>
      <c r="BH95" s="4">
        <f t="shared" si="134"/>
        <v>14.508</v>
      </c>
      <c r="BI95" s="1">
        <f t="shared" si="135"/>
        <v>12.09</v>
      </c>
      <c r="BJ95" s="3">
        <f t="shared" si="128"/>
        <v>11.4855</v>
      </c>
      <c r="BK95" s="1">
        <f t="shared" si="129"/>
        <v>12.09</v>
      </c>
      <c r="BL95" s="3">
        <v>10.881</v>
      </c>
      <c r="BM95" s="8">
        <f t="shared" si="130"/>
        <v>12.09</v>
      </c>
      <c r="BN95" s="3">
        <f>MIN(N95:BM95:BM95)</f>
        <v>10.63</v>
      </c>
      <c r="BO95" s="3">
        <f t="shared" si="131"/>
        <v>53.03459808349597</v>
      </c>
      <c r="BQ95" s="2"/>
    </row>
    <row r="96" spans="1:67" ht="19.5" customHeight="1">
      <c r="A96" s="10">
        <f t="shared" si="137"/>
        <v>95</v>
      </c>
      <c r="B96" s="23">
        <v>86430</v>
      </c>
      <c r="C96" s="6">
        <v>3028643000</v>
      </c>
      <c r="D96" s="30" t="s">
        <v>25</v>
      </c>
      <c r="E96" s="11" t="s">
        <v>371</v>
      </c>
      <c r="F96" s="45">
        <v>18.42</v>
      </c>
      <c r="G96" s="23">
        <v>302</v>
      </c>
      <c r="H96" s="48">
        <v>0</v>
      </c>
      <c r="I96" s="6">
        <v>0</v>
      </c>
      <c r="J96" s="8">
        <f t="shared" si="97"/>
        <v>7.982</v>
      </c>
      <c r="K96" s="24" t="s">
        <v>386</v>
      </c>
      <c r="L96" s="4">
        <v>6.14</v>
      </c>
      <c r="M96" s="3">
        <v>5.04</v>
      </c>
      <c r="N96" s="5">
        <f>6.78*1.8</f>
        <v>12.204</v>
      </c>
      <c r="O96" s="8">
        <f t="shared" si="98"/>
        <v>6.14</v>
      </c>
      <c r="P96" s="7">
        <f t="shared" si="132"/>
        <v>11.973</v>
      </c>
      <c r="Q96" s="1">
        <f t="shared" si="99"/>
        <v>6.14</v>
      </c>
      <c r="R96" s="4">
        <f t="shared" si="100"/>
        <v>6.7540000000000004</v>
      </c>
      <c r="S96" s="1">
        <f t="shared" si="101"/>
        <v>6.14</v>
      </c>
      <c r="T96" s="1">
        <v>8.3</v>
      </c>
      <c r="U96" s="27">
        <f>7.92999982833862*3.14</f>
        <v>24.90019946098327</v>
      </c>
      <c r="V96" s="3">
        <f t="shared" si="102"/>
        <v>6.14</v>
      </c>
      <c r="W96" s="3">
        <f t="shared" si="103"/>
        <v>6.14</v>
      </c>
      <c r="X96" s="3">
        <f t="shared" si="104"/>
        <v>6.14</v>
      </c>
      <c r="Y96" s="3">
        <v>8.99</v>
      </c>
      <c r="Z96" s="3">
        <f t="shared" si="105"/>
        <v>5.832999999999999</v>
      </c>
      <c r="AA96" s="3">
        <f t="shared" si="106"/>
        <v>5.832999999999999</v>
      </c>
      <c r="AB96" s="3">
        <f t="shared" si="107"/>
        <v>6.14</v>
      </c>
      <c r="AC96" s="4">
        <f t="shared" si="108"/>
        <v>6.447</v>
      </c>
      <c r="AD96" s="3">
        <f t="shared" si="109"/>
        <v>6.14</v>
      </c>
      <c r="AE96" s="3">
        <f t="shared" si="110"/>
        <v>6.14</v>
      </c>
      <c r="AF96" s="3">
        <f t="shared" si="111"/>
        <v>5.6488</v>
      </c>
      <c r="AG96" s="4">
        <f t="shared" si="112"/>
        <v>12.894</v>
      </c>
      <c r="AH96" s="8">
        <f t="shared" si="94"/>
        <v>6.14</v>
      </c>
      <c r="AI96" s="8">
        <f t="shared" si="85"/>
        <v>6.14</v>
      </c>
      <c r="AJ96" s="4">
        <f t="shared" si="113"/>
        <v>8.3504</v>
      </c>
      <c r="AK96" s="1">
        <f t="shared" si="114"/>
        <v>6.14</v>
      </c>
      <c r="AL96" s="1">
        <f t="shared" si="115"/>
        <v>6.14</v>
      </c>
      <c r="AM96" s="2">
        <f t="shared" si="116"/>
        <v>6.14</v>
      </c>
      <c r="AN96" s="2">
        <f t="shared" si="117"/>
        <v>6.14</v>
      </c>
      <c r="AO96" s="3">
        <f t="shared" si="118"/>
        <v>5.04</v>
      </c>
      <c r="AP96" s="3">
        <f t="shared" si="133"/>
        <v>6.14</v>
      </c>
      <c r="AQ96" s="7">
        <f t="shared" si="119"/>
        <v>9.21</v>
      </c>
      <c r="AR96" s="1">
        <f t="shared" si="86"/>
        <v>12.6</v>
      </c>
      <c r="AS96" s="1">
        <f t="shared" si="120"/>
        <v>6.14</v>
      </c>
      <c r="AT96" s="3">
        <f t="shared" si="121"/>
        <v>7.368000000000001</v>
      </c>
      <c r="AU96" s="3">
        <f t="shared" si="136"/>
        <v>5.5440000000000005</v>
      </c>
      <c r="AV96" s="1">
        <f t="shared" si="122"/>
        <v>6.14</v>
      </c>
      <c r="AW96" s="4">
        <f t="shared" si="138"/>
        <v>5.832999999999999</v>
      </c>
      <c r="AX96" s="3" t="str">
        <f t="shared" si="123"/>
        <v>5.4 Per Unit</v>
      </c>
      <c r="AY96" s="3">
        <f t="shared" si="124"/>
        <v>6.14</v>
      </c>
      <c r="AZ96" s="1">
        <f t="shared" si="87"/>
        <v>6.14</v>
      </c>
      <c r="BA96" s="3">
        <f t="shared" si="88"/>
        <v>6.14</v>
      </c>
      <c r="BB96" s="3">
        <f t="shared" si="89"/>
        <v>6.14</v>
      </c>
      <c r="BC96" s="3">
        <f t="shared" si="90"/>
        <v>6.7540000000000004</v>
      </c>
      <c r="BD96" s="3">
        <f t="shared" si="91"/>
        <v>5.526</v>
      </c>
      <c r="BE96" s="3">
        <f t="shared" si="125"/>
        <v>15.657000000000002</v>
      </c>
      <c r="BF96" s="1">
        <f t="shared" si="126"/>
        <v>6.14</v>
      </c>
      <c r="BG96" s="8" t="str">
        <f t="shared" si="127"/>
        <v>5.83 Per Unit</v>
      </c>
      <c r="BH96" s="4">
        <f t="shared" si="134"/>
        <v>7.367999999999999</v>
      </c>
      <c r="BI96" s="1">
        <f t="shared" si="135"/>
        <v>6.14</v>
      </c>
      <c r="BJ96" s="3">
        <f t="shared" si="128"/>
        <v>5.832999999999999</v>
      </c>
      <c r="BK96" s="1">
        <f t="shared" si="129"/>
        <v>6.14</v>
      </c>
      <c r="BL96" s="4">
        <v>5.526</v>
      </c>
      <c r="BM96" s="8">
        <f t="shared" si="130"/>
        <v>6.14</v>
      </c>
      <c r="BN96" s="3">
        <f>MIN(N96:BM96:BM96)</f>
        <v>5.04</v>
      </c>
      <c r="BO96" s="3">
        <f t="shared" si="131"/>
        <v>24.90019946098327</v>
      </c>
    </row>
    <row r="97" spans="1:67" ht="19.5" customHeight="1">
      <c r="A97" s="10">
        <f t="shared" si="137"/>
        <v>96</v>
      </c>
      <c r="B97" s="6">
        <v>82652</v>
      </c>
      <c r="C97" s="6">
        <v>3018265200</v>
      </c>
      <c r="D97" s="30" t="s">
        <v>13</v>
      </c>
      <c r="E97" s="11" t="s">
        <v>371</v>
      </c>
      <c r="F97" s="45">
        <v>115.5</v>
      </c>
      <c r="G97" s="23">
        <v>300</v>
      </c>
      <c r="H97" s="48">
        <v>0</v>
      </c>
      <c r="I97" s="6">
        <v>0</v>
      </c>
      <c r="J97" s="8">
        <f aca="true" t="shared" si="139" ref="J97:J112">L97*1.3</f>
        <v>50.050000000000004</v>
      </c>
      <c r="K97" s="24" t="s">
        <v>386</v>
      </c>
      <c r="L97" s="4">
        <v>38.5</v>
      </c>
      <c r="M97" s="3">
        <v>33.18</v>
      </c>
      <c r="N97" s="5">
        <f>46.05*1.8</f>
        <v>82.89</v>
      </c>
      <c r="O97" s="8">
        <f aca="true" t="shared" si="140" ref="O97:O112">L97</f>
        <v>38.5</v>
      </c>
      <c r="P97" s="7">
        <f t="shared" si="132"/>
        <v>75.075</v>
      </c>
      <c r="Q97" s="1">
        <f aca="true" t="shared" si="141" ref="Q97:Q112">L97</f>
        <v>38.5</v>
      </c>
      <c r="R97" s="4">
        <f aca="true" t="shared" si="142" ref="R97:R112">L97*1.1</f>
        <v>42.35</v>
      </c>
      <c r="S97" s="1">
        <f aca="true" t="shared" si="143" ref="S97:S112">L97</f>
        <v>38.5</v>
      </c>
      <c r="T97" s="1">
        <v>44.48</v>
      </c>
      <c r="U97" s="27">
        <f>45.2400016784667*3.14</f>
        <v>142.05360527038545</v>
      </c>
      <c r="V97" s="3">
        <f aca="true" t="shared" si="144" ref="V97:V112">L97</f>
        <v>38.5</v>
      </c>
      <c r="W97" s="3">
        <f aca="true" t="shared" si="145" ref="W97:W112">L97</f>
        <v>38.5</v>
      </c>
      <c r="X97" s="3">
        <f aca="true" t="shared" si="146" ref="X97:X112">L97</f>
        <v>38.5</v>
      </c>
      <c r="Y97" s="3">
        <v>56.33</v>
      </c>
      <c r="Z97" s="3">
        <f aca="true" t="shared" si="147" ref="Z97:Z112">L97*0.95</f>
        <v>36.574999999999996</v>
      </c>
      <c r="AA97" s="3">
        <f aca="true" t="shared" si="148" ref="AA97:AA112">L97*0.95</f>
        <v>36.574999999999996</v>
      </c>
      <c r="AB97" s="3">
        <f aca="true" t="shared" si="149" ref="AB97:AB112">L97</f>
        <v>38.5</v>
      </c>
      <c r="AC97" s="4">
        <f aca="true" t="shared" si="150" ref="AC97:AC112">L97*1.05</f>
        <v>40.425000000000004</v>
      </c>
      <c r="AD97" s="3">
        <f aca="true" t="shared" si="151" ref="AD97:AD112">L97</f>
        <v>38.5</v>
      </c>
      <c r="AE97" s="3">
        <f aca="true" t="shared" si="152" ref="AE97:AE112">L97</f>
        <v>38.5</v>
      </c>
      <c r="AF97" s="3">
        <f aca="true" t="shared" si="153" ref="AF97:AF112">L97*0.92</f>
        <v>35.42</v>
      </c>
      <c r="AG97" s="4">
        <f aca="true" t="shared" si="154" ref="AG97:AG112">F97*0.7</f>
        <v>80.85</v>
      </c>
      <c r="AH97" s="8">
        <f t="shared" si="94"/>
        <v>38.5</v>
      </c>
      <c r="AI97" s="8">
        <f t="shared" si="85"/>
        <v>38.5</v>
      </c>
      <c r="AJ97" s="4">
        <f aca="true" t="shared" si="155" ref="AJ97:AJ112">L97*1.36</f>
        <v>52.36000000000001</v>
      </c>
      <c r="AK97" s="1">
        <f aca="true" t="shared" si="156" ref="AK97:AK112">L97</f>
        <v>38.5</v>
      </c>
      <c r="AL97" s="1">
        <f aca="true" t="shared" si="157" ref="AL97:AL112">L97</f>
        <v>38.5</v>
      </c>
      <c r="AM97" s="2">
        <f aca="true" t="shared" si="158" ref="AM97:AM112">L97</f>
        <v>38.5</v>
      </c>
      <c r="AN97" s="2">
        <f aca="true" t="shared" si="159" ref="AN97:AN112">L97</f>
        <v>38.5</v>
      </c>
      <c r="AO97" s="3">
        <f aca="true" t="shared" si="160" ref="AO97:AO112">M97</f>
        <v>33.18</v>
      </c>
      <c r="AP97" s="3">
        <f t="shared" si="133"/>
        <v>38.5</v>
      </c>
      <c r="AQ97" s="7">
        <f aca="true" t="shared" si="161" ref="AQ97:AQ112">F97*0.5</f>
        <v>57.75</v>
      </c>
      <c r="AR97" s="1">
        <f t="shared" si="86"/>
        <v>82.95</v>
      </c>
      <c r="AS97" s="1">
        <f aca="true" t="shared" si="162" ref="AS97:AS112">L97</f>
        <v>38.5</v>
      </c>
      <c r="AT97" s="3">
        <f aca="true" t="shared" si="163" ref="AT97:AT112">F97*0.4</f>
        <v>46.2</v>
      </c>
      <c r="AU97" s="3">
        <f t="shared" si="136"/>
        <v>36.498000000000005</v>
      </c>
      <c r="AV97" s="1">
        <f aca="true" t="shared" si="164" ref="AV97:AV112">L97</f>
        <v>38.5</v>
      </c>
      <c r="AW97" s="4">
        <f t="shared" si="138"/>
        <v>36.574999999999996</v>
      </c>
      <c r="AX97" s="3" t="str">
        <f aca="true" t="shared" si="165" ref="AX97:AX112">CONCATENATE(ROUND(L97*0.88,2)," ",K97)</f>
        <v>33.88 Per Unit</v>
      </c>
      <c r="AY97" s="3">
        <f aca="true" t="shared" si="166" ref="AY97:AY112">L97</f>
        <v>38.5</v>
      </c>
      <c r="AZ97" s="1">
        <f t="shared" si="87"/>
        <v>38.5</v>
      </c>
      <c r="BA97" s="3">
        <f t="shared" si="88"/>
        <v>38.5</v>
      </c>
      <c r="BB97" s="3">
        <f t="shared" si="89"/>
        <v>38.5</v>
      </c>
      <c r="BC97" s="3">
        <f t="shared" si="90"/>
        <v>42.35</v>
      </c>
      <c r="BD97" s="3">
        <f t="shared" si="91"/>
        <v>34.65</v>
      </c>
      <c r="BE97" s="3">
        <f aca="true" t="shared" si="167" ref="BE97:BE112">F97*0.85</f>
        <v>98.175</v>
      </c>
      <c r="BF97" s="1">
        <f aca="true" t="shared" si="168" ref="BF97:BF112">L97</f>
        <v>38.5</v>
      </c>
      <c r="BG97" s="8" t="str">
        <f aca="true" t="shared" si="169" ref="BG97:BG112">CONCATENATE(ROUND(L97*0.95,2)," ",K97)</f>
        <v>36.58 Per Unit</v>
      </c>
      <c r="BH97" s="4">
        <f t="shared" si="134"/>
        <v>46.199999999999996</v>
      </c>
      <c r="BI97" s="1">
        <f t="shared" si="135"/>
        <v>38.5</v>
      </c>
      <c r="BJ97" s="3">
        <f aca="true" t="shared" si="170" ref="BJ97:BJ112">L97*0.95</f>
        <v>36.574999999999996</v>
      </c>
      <c r="BK97" s="1">
        <f aca="true" t="shared" si="171" ref="BK97:BK112">L97</f>
        <v>38.5</v>
      </c>
      <c r="BL97" s="4">
        <v>34.65</v>
      </c>
      <c r="BM97" s="8">
        <f aca="true" t="shared" si="172" ref="BM97:BM112">L97</f>
        <v>38.5</v>
      </c>
      <c r="BN97" s="3">
        <f>MIN(N97:BM97:BM97)</f>
        <v>33.18</v>
      </c>
      <c r="BO97" s="3">
        <f t="shared" si="131"/>
        <v>142.05360527038545</v>
      </c>
    </row>
    <row r="98" spans="1:67" ht="19.5" customHeight="1">
      <c r="A98" s="10">
        <f t="shared" si="137"/>
        <v>97</v>
      </c>
      <c r="B98" s="6">
        <v>81050</v>
      </c>
      <c r="C98" s="6">
        <v>3078105000</v>
      </c>
      <c r="D98" s="30" t="s">
        <v>337</v>
      </c>
      <c r="E98" s="11" t="s">
        <v>371</v>
      </c>
      <c r="F98" s="45">
        <v>10.92</v>
      </c>
      <c r="G98" s="23">
        <v>307</v>
      </c>
      <c r="H98" s="48">
        <v>0</v>
      </c>
      <c r="I98" s="6">
        <v>0</v>
      </c>
      <c r="J98" s="8">
        <f t="shared" si="139"/>
        <v>4.732</v>
      </c>
      <c r="K98" s="24" t="s">
        <v>386</v>
      </c>
      <c r="L98" s="4">
        <v>3.64</v>
      </c>
      <c r="M98" s="3">
        <v>1.41</v>
      </c>
      <c r="N98" s="5">
        <f>3.59*1.8</f>
        <v>6.462</v>
      </c>
      <c r="O98" s="8">
        <f t="shared" si="140"/>
        <v>3.64</v>
      </c>
      <c r="P98" s="7">
        <f t="shared" si="132"/>
        <v>7.098</v>
      </c>
      <c r="Q98" s="1">
        <f t="shared" si="141"/>
        <v>3.64</v>
      </c>
      <c r="R98" s="4">
        <f t="shared" si="142"/>
        <v>4.0040000000000004</v>
      </c>
      <c r="S98" s="1">
        <f t="shared" si="143"/>
        <v>3.64</v>
      </c>
      <c r="T98" s="1">
        <v>3.78</v>
      </c>
      <c r="U98" s="27">
        <f>4.19000005722045*3.14</f>
        <v>13.156600179672214</v>
      </c>
      <c r="V98" s="3">
        <f t="shared" si="144"/>
        <v>3.64</v>
      </c>
      <c r="W98" s="3">
        <f t="shared" si="145"/>
        <v>3.64</v>
      </c>
      <c r="X98" s="3">
        <f t="shared" si="146"/>
        <v>3.64</v>
      </c>
      <c r="Y98" s="3">
        <v>5.34</v>
      </c>
      <c r="Z98" s="3">
        <f t="shared" si="147"/>
        <v>3.4579999999999997</v>
      </c>
      <c r="AA98" s="3">
        <f t="shared" si="148"/>
        <v>3.4579999999999997</v>
      </c>
      <c r="AB98" s="3">
        <f t="shared" si="149"/>
        <v>3.64</v>
      </c>
      <c r="AC98" s="4">
        <f t="shared" si="150"/>
        <v>3.8220000000000005</v>
      </c>
      <c r="AD98" s="3">
        <f t="shared" si="151"/>
        <v>3.64</v>
      </c>
      <c r="AE98" s="3">
        <f t="shared" si="152"/>
        <v>3.64</v>
      </c>
      <c r="AF98" s="3">
        <f t="shared" si="153"/>
        <v>3.3488</v>
      </c>
      <c r="AG98" s="4">
        <f t="shared" si="154"/>
        <v>7.643999999999999</v>
      </c>
      <c r="AH98" s="8">
        <f t="shared" si="94"/>
        <v>3.64</v>
      </c>
      <c r="AI98" s="8">
        <f aca="true" t="shared" si="173" ref="AI98:AI112">L98</f>
        <v>3.64</v>
      </c>
      <c r="AJ98" s="4">
        <f t="shared" si="155"/>
        <v>4.9504</v>
      </c>
      <c r="AK98" s="1">
        <f t="shared" si="156"/>
        <v>3.64</v>
      </c>
      <c r="AL98" s="1">
        <f t="shared" si="157"/>
        <v>3.64</v>
      </c>
      <c r="AM98" s="2">
        <f t="shared" si="158"/>
        <v>3.64</v>
      </c>
      <c r="AN98" s="2">
        <f t="shared" si="159"/>
        <v>3.64</v>
      </c>
      <c r="AO98" s="3">
        <f t="shared" si="160"/>
        <v>1.41</v>
      </c>
      <c r="AP98" s="3">
        <f t="shared" si="133"/>
        <v>3.64</v>
      </c>
      <c r="AQ98" s="7">
        <f t="shared" si="161"/>
        <v>5.46</v>
      </c>
      <c r="AR98" s="1">
        <f aca="true" t="shared" si="174" ref="AR98:AR112">M98*2.5</f>
        <v>3.525</v>
      </c>
      <c r="AS98" s="1">
        <f t="shared" si="162"/>
        <v>3.64</v>
      </c>
      <c r="AT98" s="3">
        <f t="shared" si="163"/>
        <v>4.368</v>
      </c>
      <c r="AU98" s="3">
        <f t="shared" si="136"/>
        <v>1.551</v>
      </c>
      <c r="AV98" s="1">
        <f t="shared" si="164"/>
        <v>3.64</v>
      </c>
      <c r="AW98" s="4">
        <f t="shared" si="138"/>
        <v>3.4579999999999997</v>
      </c>
      <c r="AX98" s="3" t="str">
        <f t="shared" si="165"/>
        <v>3.2 Per Unit</v>
      </c>
      <c r="AY98" s="3">
        <f t="shared" si="166"/>
        <v>3.64</v>
      </c>
      <c r="AZ98" s="1">
        <f aca="true" t="shared" si="175" ref="AZ98:AZ112">L98</f>
        <v>3.64</v>
      </c>
      <c r="BA98" s="3">
        <f aca="true" t="shared" si="176" ref="BA98:BA112">L98</f>
        <v>3.64</v>
      </c>
      <c r="BB98" s="3">
        <f aca="true" t="shared" si="177" ref="BB98:BB112">L98</f>
        <v>3.64</v>
      </c>
      <c r="BC98" s="3">
        <f aca="true" t="shared" si="178" ref="BC98:BC112">L98*1.1</f>
        <v>4.0040000000000004</v>
      </c>
      <c r="BD98" s="3">
        <f aca="true" t="shared" si="179" ref="BD98:BD112">L98*0.9</f>
        <v>3.2760000000000002</v>
      </c>
      <c r="BE98" s="3">
        <f t="shared" si="167"/>
        <v>9.282</v>
      </c>
      <c r="BF98" s="1">
        <f t="shared" si="168"/>
        <v>3.64</v>
      </c>
      <c r="BG98" s="8" t="str">
        <f t="shared" si="169"/>
        <v>3.46 Per Unit</v>
      </c>
      <c r="BH98" s="4">
        <f t="shared" si="134"/>
        <v>4.368</v>
      </c>
      <c r="BI98" s="1">
        <f t="shared" si="135"/>
        <v>3.64</v>
      </c>
      <c r="BJ98" s="3">
        <f t="shared" si="170"/>
        <v>3.4579999999999997</v>
      </c>
      <c r="BK98" s="1">
        <f t="shared" si="171"/>
        <v>3.64</v>
      </c>
      <c r="BL98" s="4">
        <v>3.2760000000000002</v>
      </c>
      <c r="BM98" s="8">
        <f t="shared" si="172"/>
        <v>3.64</v>
      </c>
      <c r="BN98" s="3">
        <f>MIN(N98:BM98:BM98)</f>
        <v>1.41</v>
      </c>
      <c r="BO98" s="3">
        <f aca="true" t="shared" si="180" ref="BO98:BO113">MAX(N98:BM98)</f>
        <v>13.156600179672214</v>
      </c>
    </row>
    <row r="99" spans="1:67" ht="19.5" customHeight="1">
      <c r="A99" s="10">
        <f t="shared" si="137"/>
        <v>98</v>
      </c>
      <c r="B99" s="6">
        <v>82330</v>
      </c>
      <c r="C99" s="6">
        <v>3018233000</v>
      </c>
      <c r="D99" s="30" t="s">
        <v>17</v>
      </c>
      <c r="E99" s="11" t="s">
        <v>371</v>
      </c>
      <c r="F99" s="45">
        <v>41.04</v>
      </c>
      <c r="G99" s="6">
        <v>301</v>
      </c>
      <c r="H99" s="48">
        <v>0</v>
      </c>
      <c r="I99" s="6">
        <v>0</v>
      </c>
      <c r="J99" s="8">
        <f t="shared" si="139"/>
        <v>17.784</v>
      </c>
      <c r="K99" s="24" t="s">
        <v>386</v>
      </c>
      <c r="L99" s="4">
        <v>13.68</v>
      </c>
      <c r="M99" s="3">
        <v>12.16</v>
      </c>
      <c r="N99" s="5">
        <f>16.35*1.8</f>
        <v>29.430000000000003</v>
      </c>
      <c r="O99" s="8">
        <f t="shared" si="140"/>
        <v>13.68</v>
      </c>
      <c r="P99" s="7">
        <f aca="true" t="shared" si="181" ref="P99:P112">F99*0.65</f>
        <v>26.676000000000002</v>
      </c>
      <c r="Q99" s="1">
        <f t="shared" si="141"/>
        <v>13.68</v>
      </c>
      <c r="R99" s="4">
        <f t="shared" si="142"/>
        <v>15.048</v>
      </c>
      <c r="S99" s="1">
        <f t="shared" si="143"/>
        <v>13.68</v>
      </c>
      <c r="T99" s="1">
        <v>20.3</v>
      </c>
      <c r="U99" s="27">
        <f>19.0900001525878*3.14</f>
        <v>59.94260047912569</v>
      </c>
      <c r="V99" s="3">
        <f t="shared" si="144"/>
        <v>13.68</v>
      </c>
      <c r="W99" s="3">
        <f t="shared" si="145"/>
        <v>13.68</v>
      </c>
      <c r="X99" s="3">
        <f t="shared" si="146"/>
        <v>13.68</v>
      </c>
      <c r="Y99" s="3">
        <v>20.01</v>
      </c>
      <c r="Z99" s="3">
        <f t="shared" si="147"/>
        <v>12.995999999999999</v>
      </c>
      <c r="AA99" s="3">
        <f t="shared" si="148"/>
        <v>12.995999999999999</v>
      </c>
      <c r="AB99" s="3">
        <f t="shared" si="149"/>
        <v>13.68</v>
      </c>
      <c r="AC99" s="4">
        <f t="shared" si="150"/>
        <v>14.364</v>
      </c>
      <c r="AD99" s="3">
        <f t="shared" si="151"/>
        <v>13.68</v>
      </c>
      <c r="AE99" s="3">
        <f t="shared" si="152"/>
        <v>13.68</v>
      </c>
      <c r="AF99" s="3">
        <f t="shared" si="153"/>
        <v>12.5856</v>
      </c>
      <c r="AG99" s="4">
        <f t="shared" si="154"/>
        <v>28.727999999999998</v>
      </c>
      <c r="AH99" s="8">
        <f aca="true" t="shared" si="182" ref="AH99:AH112">L99</f>
        <v>13.68</v>
      </c>
      <c r="AI99" s="8">
        <f t="shared" si="173"/>
        <v>13.68</v>
      </c>
      <c r="AJ99" s="4">
        <f t="shared" si="155"/>
        <v>18.6048</v>
      </c>
      <c r="AK99" s="1">
        <f t="shared" si="156"/>
        <v>13.68</v>
      </c>
      <c r="AL99" s="1">
        <f t="shared" si="157"/>
        <v>13.68</v>
      </c>
      <c r="AM99" s="2">
        <f t="shared" si="158"/>
        <v>13.68</v>
      </c>
      <c r="AN99" s="2">
        <f t="shared" si="159"/>
        <v>13.68</v>
      </c>
      <c r="AO99" s="3">
        <f t="shared" si="160"/>
        <v>12.16</v>
      </c>
      <c r="AP99" s="3">
        <f aca="true" t="shared" si="183" ref="AP99:AP112">L99</f>
        <v>13.68</v>
      </c>
      <c r="AQ99" s="7">
        <f t="shared" si="161"/>
        <v>20.52</v>
      </c>
      <c r="AR99" s="1">
        <f t="shared" si="174"/>
        <v>30.4</v>
      </c>
      <c r="AS99" s="1">
        <f t="shared" si="162"/>
        <v>13.68</v>
      </c>
      <c r="AT99" s="3">
        <f t="shared" si="163"/>
        <v>16.416</v>
      </c>
      <c r="AU99" s="3">
        <f t="shared" si="136"/>
        <v>13.376000000000001</v>
      </c>
      <c r="AV99" s="1">
        <f t="shared" si="164"/>
        <v>13.68</v>
      </c>
      <c r="AW99" s="4">
        <f t="shared" si="138"/>
        <v>12.995999999999999</v>
      </c>
      <c r="AX99" s="3" t="str">
        <f t="shared" si="165"/>
        <v>12.04 Per Unit</v>
      </c>
      <c r="AY99" s="3">
        <f t="shared" si="166"/>
        <v>13.68</v>
      </c>
      <c r="AZ99" s="1">
        <f t="shared" si="175"/>
        <v>13.68</v>
      </c>
      <c r="BA99" s="3">
        <f t="shared" si="176"/>
        <v>13.68</v>
      </c>
      <c r="BB99" s="3">
        <f t="shared" si="177"/>
        <v>13.68</v>
      </c>
      <c r="BC99" s="3">
        <f t="shared" si="178"/>
        <v>15.048</v>
      </c>
      <c r="BD99" s="3">
        <f t="shared" si="179"/>
        <v>12.312</v>
      </c>
      <c r="BE99" s="3">
        <f t="shared" si="167"/>
        <v>34.884</v>
      </c>
      <c r="BF99" s="1">
        <f t="shared" si="168"/>
        <v>13.68</v>
      </c>
      <c r="BG99" s="8" t="str">
        <f t="shared" si="169"/>
        <v>13 Per Unit</v>
      </c>
      <c r="BH99" s="4">
        <f aca="true" t="shared" si="184" ref="BH99:BH112">L99*1.2</f>
        <v>16.416</v>
      </c>
      <c r="BI99" s="1">
        <f aca="true" t="shared" si="185" ref="BI99:BI112">L99</f>
        <v>13.68</v>
      </c>
      <c r="BJ99" s="3">
        <f t="shared" si="170"/>
        <v>12.995999999999999</v>
      </c>
      <c r="BK99" s="1">
        <f t="shared" si="171"/>
        <v>13.68</v>
      </c>
      <c r="BL99" s="4">
        <v>12.312</v>
      </c>
      <c r="BM99" s="8">
        <f t="shared" si="172"/>
        <v>13.68</v>
      </c>
      <c r="BN99" s="3">
        <f>MIN(N99:BM99:BM99)</f>
        <v>12.16</v>
      </c>
      <c r="BO99" s="3">
        <f t="shared" si="180"/>
        <v>59.94260047912569</v>
      </c>
    </row>
    <row r="100" spans="1:67" ht="19.5" customHeight="1">
      <c r="A100" s="10">
        <f t="shared" si="137"/>
        <v>99</v>
      </c>
      <c r="B100" s="6">
        <v>82670</v>
      </c>
      <c r="C100" s="6">
        <v>3018267000</v>
      </c>
      <c r="D100" s="30" t="s">
        <v>34</v>
      </c>
      <c r="E100" s="11" t="s">
        <v>371</v>
      </c>
      <c r="F100" s="45">
        <v>83.82</v>
      </c>
      <c r="G100" s="6">
        <v>301</v>
      </c>
      <c r="H100" s="48">
        <v>0</v>
      </c>
      <c r="I100" s="6">
        <v>0</v>
      </c>
      <c r="J100" s="8">
        <f t="shared" si="139"/>
        <v>36.322</v>
      </c>
      <c r="K100" s="24" t="s">
        <v>386</v>
      </c>
      <c r="L100" s="4">
        <v>27.94</v>
      </c>
      <c r="M100" s="3">
        <v>24.71</v>
      </c>
      <c r="N100" s="5">
        <f>33.42*1.8</f>
        <v>60.156000000000006</v>
      </c>
      <c r="O100" s="8">
        <f t="shared" si="140"/>
        <v>27.94</v>
      </c>
      <c r="P100" s="7">
        <f t="shared" si="181"/>
        <v>54.483</v>
      </c>
      <c r="Q100" s="1">
        <f t="shared" si="141"/>
        <v>27.94</v>
      </c>
      <c r="R100" s="4">
        <f t="shared" si="142"/>
        <v>30.734000000000005</v>
      </c>
      <c r="S100" s="1">
        <f t="shared" si="143"/>
        <v>27.94</v>
      </c>
      <c r="T100" s="1">
        <v>41.51</v>
      </c>
      <c r="U100" s="27">
        <f>39.0400009155273*3.14</f>
        <v>122.58560287475574</v>
      </c>
      <c r="V100" s="3">
        <f t="shared" si="144"/>
        <v>27.94</v>
      </c>
      <c r="W100" s="3">
        <f t="shared" si="145"/>
        <v>27.94</v>
      </c>
      <c r="X100" s="3">
        <f t="shared" si="146"/>
        <v>27.94</v>
      </c>
      <c r="Y100" s="3">
        <v>40.86</v>
      </c>
      <c r="Z100" s="3">
        <f t="shared" si="147"/>
        <v>26.543</v>
      </c>
      <c r="AA100" s="3">
        <f t="shared" si="148"/>
        <v>26.543</v>
      </c>
      <c r="AB100" s="3">
        <f t="shared" si="149"/>
        <v>27.94</v>
      </c>
      <c r="AC100" s="4">
        <f t="shared" si="150"/>
        <v>29.337000000000003</v>
      </c>
      <c r="AD100" s="3">
        <f t="shared" si="151"/>
        <v>27.94</v>
      </c>
      <c r="AE100" s="3">
        <f t="shared" si="152"/>
        <v>27.94</v>
      </c>
      <c r="AF100" s="3">
        <f t="shared" si="153"/>
        <v>25.704800000000002</v>
      </c>
      <c r="AG100" s="4">
        <f t="shared" si="154"/>
        <v>58.67399999999999</v>
      </c>
      <c r="AH100" s="8">
        <f t="shared" si="182"/>
        <v>27.94</v>
      </c>
      <c r="AI100" s="8">
        <f t="shared" si="173"/>
        <v>27.94</v>
      </c>
      <c r="AJ100" s="4">
        <f t="shared" si="155"/>
        <v>37.998400000000004</v>
      </c>
      <c r="AK100" s="1">
        <f t="shared" si="156"/>
        <v>27.94</v>
      </c>
      <c r="AL100" s="1">
        <f t="shared" si="157"/>
        <v>27.94</v>
      </c>
      <c r="AM100" s="2">
        <f t="shared" si="158"/>
        <v>27.94</v>
      </c>
      <c r="AN100" s="2">
        <f t="shared" si="159"/>
        <v>27.94</v>
      </c>
      <c r="AO100" s="3">
        <f t="shared" si="160"/>
        <v>24.71</v>
      </c>
      <c r="AP100" s="3">
        <f t="shared" si="183"/>
        <v>27.94</v>
      </c>
      <c r="AQ100" s="7">
        <f t="shared" si="161"/>
        <v>41.91</v>
      </c>
      <c r="AR100" s="1">
        <f t="shared" si="174"/>
        <v>61.775000000000006</v>
      </c>
      <c r="AS100" s="1">
        <f t="shared" si="162"/>
        <v>27.94</v>
      </c>
      <c r="AT100" s="3">
        <f t="shared" si="163"/>
        <v>33.528</v>
      </c>
      <c r="AU100" s="3">
        <f t="shared" si="136"/>
        <v>27.181000000000004</v>
      </c>
      <c r="AV100" s="1">
        <f t="shared" si="164"/>
        <v>27.94</v>
      </c>
      <c r="AW100" s="4">
        <f t="shared" si="138"/>
        <v>26.543</v>
      </c>
      <c r="AX100" s="3" t="str">
        <f t="shared" si="165"/>
        <v>24.59 Per Unit</v>
      </c>
      <c r="AY100" s="3">
        <f t="shared" si="166"/>
        <v>27.94</v>
      </c>
      <c r="AZ100" s="1">
        <f t="shared" si="175"/>
        <v>27.94</v>
      </c>
      <c r="BA100" s="3">
        <f t="shared" si="176"/>
        <v>27.94</v>
      </c>
      <c r="BB100" s="3">
        <f t="shared" si="177"/>
        <v>27.94</v>
      </c>
      <c r="BC100" s="3">
        <f t="shared" si="178"/>
        <v>30.734000000000005</v>
      </c>
      <c r="BD100" s="3">
        <f t="shared" si="179"/>
        <v>25.146</v>
      </c>
      <c r="BE100" s="3">
        <f t="shared" si="167"/>
        <v>71.24699999999999</v>
      </c>
      <c r="BF100" s="1">
        <f t="shared" si="168"/>
        <v>27.94</v>
      </c>
      <c r="BG100" s="8" t="str">
        <f t="shared" si="169"/>
        <v>26.54 Per Unit</v>
      </c>
      <c r="BH100" s="4">
        <f t="shared" si="184"/>
        <v>33.528</v>
      </c>
      <c r="BI100" s="1">
        <f t="shared" si="185"/>
        <v>27.94</v>
      </c>
      <c r="BJ100" s="3">
        <f t="shared" si="170"/>
        <v>26.543</v>
      </c>
      <c r="BK100" s="1">
        <f t="shared" si="171"/>
        <v>27.94</v>
      </c>
      <c r="BL100" s="4">
        <v>25.146</v>
      </c>
      <c r="BM100" s="8">
        <f t="shared" si="172"/>
        <v>27.94</v>
      </c>
      <c r="BN100" s="3">
        <f>MIN(N100:BM100:BM100)</f>
        <v>24.71</v>
      </c>
      <c r="BO100" s="3">
        <f t="shared" si="180"/>
        <v>122.58560287475574</v>
      </c>
    </row>
    <row r="101" spans="1:67" ht="19.5" customHeight="1">
      <c r="A101" s="10">
        <f t="shared" si="137"/>
        <v>100</v>
      </c>
      <c r="B101" s="6">
        <v>82140</v>
      </c>
      <c r="C101" s="6">
        <v>3018214000</v>
      </c>
      <c r="D101" s="30" t="s">
        <v>3</v>
      </c>
      <c r="E101" s="11" t="s">
        <v>371</v>
      </c>
      <c r="F101" s="45">
        <v>43.71</v>
      </c>
      <c r="G101" s="23">
        <v>300</v>
      </c>
      <c r="H101" s="48">
        <v>0</v>
      </c>
      <c r="I101" s="6">
        <v>0</v>
      </c>
      <c r="J101" s="8">
        <f t="shared" si="139"/>
        <v>18.941000000000003</v>
      </c>
      <c r="K101" s="24" t="s">
        <v>386</v>
      </c>
      <c r="L101" s="4">
        <v>14.57</v>
      </c>
      <c r="M101" s="3">
        <v>12.95</v>
      </c>
      <c r="N101" s="5">
        <f>17.43*1.8</f>
        <v>31.374</v>
      </c>
      <c r="O101" s="8">
        <f t="shared" si="140"/>
        <v>14.57</v>
      </c>
      <c r="P101" s="7">
        <f t="shared" si="181"/>
        <v>28.4115</v>
      </c>
      <c r="Q101" s="1">
        <f t="shared" si="141"/>
        <v>14.57</v>
      </c>
      <c r="R101" s="4">
        <f t="shared" si="142"/>
        <v>16.027</v>
      </c>
      <c r="S101" s="1">
        <f t="shared" si="143"/>
        <v>14.57</v>
      </c>
      <c r="T101" s="1">
        <v>21.65</v>
      </c>
      <c r="U101" s="27">
        <f>20.3600006103515*3.14</f>
        <v>63.930401916503705</v>
      </c>
      <c r="V101" s="3">
        <f t="shared" si="144"/>
        <v>14.57</v>
      </c>
      <c r="W101" s="3">
        <f t="shared" si="145"/>
        <v>14.57</v>
      </c>
      <c r="X101" s="3">
        <f t="shared" si="146"/>
        <v>14.57</v>
      </c>
      <c r="Y101" s="3">
        <v>21.32</v>
      </c>
      <c r="Z101" s="3">
        <f t="shared" si="147"/>
        <v>13.8415</v>
      </c>
      <c r="AA101" s="3">
        <f t="shared" si="148"/>
        <v>13.8415</v>
      </c>
      <c r="AB101" s="3">
        <f t="shared" si="149"/>
        <v>14.57</v>
      </c>
      <c r="AC101" s="4">
        <f t="shared" si="150"/>
        <v>15.2985</v>
      </c>
      <c r="AD101" s="3">
        <f t="shared" si="151"/>
        <v>14.57</v>
      </c>
      <c r="AE101" s="3">
        <f t="shared" si="152"/>
        <v>14.57</v>
      </c>
      <c r="AF101" s="3">
        <f t="shared" si="153"/>
        <v>13.4044</v>
      </c>
      <c r="AG101" s="4">
        <f t="shared" si="154"/>
        <v>30.596999999999998</v>
      </c>
      <c r="AH101" s="8">
        <f t="shared" si="182"/>
        <v>14.57</v>
      </c>
      <c r="AI101" s="8">
        <f t="shared" si="173"/>
        <v>14.57</v>
      </c>
      <c r="AJ101" s="4">
        <f t="shared" si="155"/>
        <v>19.8152</v>
      </c>
      <c r="AK101" s="1">
        <f t="shared" si="156"/>
        <v>14.57</v>
      </c>
      <c r="AL101" s="1">
        <f t="shared" si="157"/>
        <v>14.57</v>
      </c>
      <c r="AM101" s="2">
        <f t="shared" si="158"/>
        <v>14.57</v>
      </c>
      <c r="AN101" s="2">
        <f t="shared" si="159"/>
        <v>14.57</v>
      </c>
      <c r="AO101" s="3">
        <f t="shared" si="160"/>
        <v>12.95</v>
      </c>
      <c r="AP101" s="3">
        <f t="shared" si="183"/>
        <v>14.57</v>
      </c>
      <c r="AQ101" s="7">
        <f t="shared" si="161"/>
        <v>21.855</v>
      </c>
      <c r="AR101" s="1">
        <f t="shared" si="174"/>
        <v>32.375</v>
      </c>
      <c r="AS101" s="1">
        <f t="shared" si="162"/>
        <v>14.57</v>
      </c>
      <c r="AT101" s="3">
        <f t="shared" si="163"/>
        <v>17.484</v>
      </c>
      <c r="AU101" s="3">
        <f aca="true" t="shared" si="186" ref="AU101:AU112">M101*1.1</f>
        <v>14.245000000000001</v>
      </c>
      <c r="AV101" s="1">
        <f t="shared" si="164"/>
        <v>14.57</v>
      </c>
      <c r="AW101" s="4">
        <f t="shared" si="138"/>
        <v>13.8415</v>
      </c>
      <c r="AX101" s="3" t="str">
        <f t="shared" si="165"/>
        <v>12.82 Per Unit</v>
      </c>
      <c r="AY101" s="3">
        <f t="shared" si="166"/>
        <v>14.57</v>
      </c>
      <c r="AZ101" s="1">
        <f t="shared" si="175"/>
        <v>14.57</v>
      </c>
      <c r="BA101" s="3">
        <f t="shared" si="176"/>
        <v>14.57</v>
      </c>
      <c r="BB101" s="3">
        <f t="shared" si="177"/>
        <v>14.57</v>
      </c>
      <c r="BC101" s="3">
        <f t="shared" si="178"/>
        <v>16.027</v>
      </c>
      <c r="BD101" s="3">
        <f t="shared" si="179"/>
        <v>13.113000000000001</v>
      </c>
      <c r="BE101" s="3">
        <f t="shared" si="167"/>
        <v>37.1535</v>
      </c>
      <c r="BF101" s="1">
        <f t="shared" si="168"/>
        <v>14.57</v>
      </c>
      <c r="BG101" s="8" t="str">
        <f t="shared" si="169"/>
        <v>13.84 Per Unit</v>
      </c>
      <c r="BH101" s="4">
        <f t="shared" si="184"/>
        <v>17.483999999999998</v>
      </c>
      <c r="BI101" s="1">
        <f t="shared" si="185"/>
        <v>14.57</v>
      </c>
      <c r="BJ101" s="3">
        <f t="shared" si="170"/>
        <v>13.8415</v>
      </c>
      <c r="BK101" s="1">
        <f t="shared" si="171"/>
        <v>14.57</v>
      </c>
      <c r="BL101" s="4">
        <v>13.113000000000001</v>
      </c>
      <c r="BM101" s="8">
        <f t="shared" si="172"/>
        <v>14.57</v>
      </c>
      <c r="BN101" s="3">
        <f>MIN(N101:BM101:BM101)</f>
        <v>12.95</v>
      </c>
      <c r="BO101" s="3">
        <f t="shared" si="180"/>
        <v>63.930401916503705</v>
      </c>
    </row>
    <row r="102" spans="1:67" ht="19.5" customHeight="1">
      <c r="A102" s="10">
        <f t="shared" si="137"/>
        <v>101</v>
      </c>
      <c r="B102" s="6">
        <v>83690</v>
      </c>
      <c r="C102" s="6">
        <v>3018369000</v>
      </c>
      <c r="D102" s="30" t="s">
        <v>338</v>
      </c>
      <c r="E102" s="11" t="s">
        <v>371</v>
      </c>
      <c r="F102" s="45">
        <v>20.67</v>
      </c>
      <c r="G102" s="6">
        <v>301</v>
      </c>
      <c r="H102" s="48">
        <v>0</v>
      </c>
      <c r="I102" s="6">
        <v>0</v>
      </c>
      <c r="J102" s="8">
        <f t="shared" si="139"/>
        <v>8.957</v>
      </c>
      <c r="K102" s="24" t="s">
        <v>386</v>
      </c>
      <c r="L102" s="4">
        <v>6.89</v>
      </c>
      <c r="M102" s="3">
        <v>6.08</v>
      </c>
      <c r="N102" s="5">
        <f>8.24*1.8</f>
        <v>14.832</v>
      </c>
      <c r="O102" s="8">
        <f t="shared" si="140"/>
        <v>6.89</v>
      </c>
      <c r="P102" s="7">
        <f t="shared" si="181"/>
        <v>13.435500000000001</v>
      </c>
      <c r="Q102" s="1">
        <f t="shared" si="141"/>
        <v>6.89</v>
      </c>
      <c r="R102" s="4">
        <f t="shared" si="142"/>
        <v>7.579000000000001</v>
      </c>
      <c r="S102" s="1">
        <f t="shared" si="143"/>
        <v>6.89</v>
      </c>
      <c r="T102" s="1">
        <v>10.22</v>
      </c>
      <c r="U102" s="27">
        <f>9.61999988555908*3.14</f>
        <v>30.206799640655515</v>
      </c>
      <c r="V102" s="3">
        <f t="shared" si="144"/>
        <v>6.89</v>
      </c>
      <c r="W102" s="3">
        <f t="shared" si="145"/>
        <v>6.89</v>
      </c>
      <c r="X102" s="3">
        <f t="shared" si="146"/>
        <v>6.89</v>
      </c>
      <c r="Y102" s="3">
        <v>10.08</v>
      </c>
      <c r="Z102" s="3">
        <f t="shared" si="147"/>
        <v>6.5455</v>
      </c>
      <c r="AA102" s="3">
        <f t="shared" si="148"/>
        <v>6.5455</v>
      </c>
      <c r="AB102" s="3">
        <f t="shared" si="149"/>
        <v>6.89</v>
      </c>
      <c r="AC102" s="4">
        <f t="shared" si="150"/>
        <v>7.2345</v>
      </c>
      <c r="AD102" s="3">
        <f t="shared" si="151"/>
        <v>6.89</v>
      </c>
      <c r="AE102" s="3">
        <f t="shared" si="152"/>
        <v>6.89</v>
      </c>
      <c r="AF102" s="3">
        <f t="shared" si="153"/>
        <v>6.3388</v>
      </c>
      <c r="AG102" s="4">
        <f t="shared" si="154"/>
        <v>14.469</v>
      </c>
      <c r="AH102" s="8">
        <f t="shared" si="182"/>
        <v>6.89</v>
      </c>
      <c r="AI102" s="8">
        <f t="shared" si="173"/>
        <v>6.89</v>
      </c>
      <c r="AJ102" s="4">
        <f t="shared" si="155"/>
        <v>9.3704</v>
      </c>
      <c r="AK102" s="1">
        <f t="shared" si="156"/>
        <v>6.89</v>
      </c>
      <c r="AL102" s="1">
        <f t="shared" si="157"/>
        <v>6.89</v>
      </c>
      <c r="AM102" s="2">
        <f t="shared" si="158"/>
        <v>6.89</v>
      </c>
      <c r="AN102" s="2">
        <f t="shared" si="159"/>
        <v>6.89</v>
      </c>
      <c r="AO102" s="3">
        <f t="shared" si="160"/>
        <v>6.08</v>
      </c>
      <c r="AP102" s="3">
        <f t="shared" si="183"/>
        <v>6.89</v>
      </c>
      <c r="AQ102" s="7">
        <f t="shared" si="161"/>
        <v>10.335</v>
      </c>
      <c r="AR102" s="1">
        <f t="shared" si="174"/>
        <v>15.2</v>
      </c>
      <c r="AS102" s="1">
        <f t="shared" si="162"/>
        <v>6.89</v>
      </c>
      <c r="AT102" s="3">
        <f t="shared" si="163"/>
        <v>8.268</v>
      </c>
      <c r="AU102" s="3">
        <f t="shared" si="186"/>
        <v>6.688000000000001</v>
      </c>
      <c r="AV102" s="1">
        <f t="shared" si="164"/>
        <v>6.89</v>
      </c>
      <c r="AW102" s="4">
        <f t="shared" si="138"/>
        <v>6.5455</v>
      </c>
      <c r="AX102" s="3" t="str">
        <f t="shared" si="165"/>
        <v>6.06 Per Unit</v>
      </c>
      <c r="AY102" s="3">
        <f t="shared" si="166"/>
        <v>6.89</v>
      </c>
      <c r="AZ102" s="1">
        <f t="shared" si="175"/>
        <v>6.89</v>
      </c>
      <c r="BA102" s="3">
        <f t="shared" si="176"/>
        <v>6.89</v>
      </c>
      <c r="BB102" s="3">
        <f t="shared" si="177"/>
        <v>6.89</v>
      </c>
      <c r="BC102" s="3">
        <f t="shared" si="178"/>
        <v>7.579000000000001</v>
      </c>
      <c r="BD102" s="3">
        <f t="shared" si="179"/>
        <v>6.201</v>
      </c>
      <c r="BE102" s="3">
        <f t="shared" si="167"/>
        <v>17.5695</v>
      </c>
      <c r="BF102" s="1">
        <f t="shared" si="168"/>
        <v>6.89</v>
      </c>
      <c r="BG102" s="8" t="str">
        <f t="shared" si="169"/>
        <v>6.55 Per Unit</v>
      </c>
      <c r="BH102" s="4">
        <f t="shared" si="184"/>
        <v>8.267999999999999</v>
      </c>
      <c r="BI102" s="1">
        <f t="shared" si="185"/>
        <v>6.89</v>
      </c>
      <c r="BJ102" s="3">
        <f t="shared" si="170"/>
        <v>6.5455</v>
      </c>
      <c r="BK102" s="1">
        <f t="shared" si="171"/>
        <v>6.89</v>
      </c>
      <c r="BL102" s="4">
        <v>6.201</v>
      </c>
      <c r="BM102" s="8">
        <f t="shared" si="172"/>
        <v>6.89</v>
      </c>
      <c r="BN102" s="3">
        <f>MIN(N102:BM102:BM102)</f>
        <v>6.08</v>
      </c>
      <c r="BO102" s="3">
        <f t="shared" si="180"/>
        <v>30.206799640655515</v>
      </c>
    </row>
    <row r="103" spans="1:67" ht="19.5" customHeight="1">
      <c r="A103" s="10">
        <f t="shared" si="137"/>
        <v>102</v>
      </c>
      <c r="B103" s="6">
        <v>86376</v>
      </c>
      <c r="C103" s="6">
        <v>3028637600</v>
      </c>
      <c r="D103" s="30" t="s">
        <v>33</v>
      </c>
      <c r="E103" s="11" t="s">
        <v>371</v>
      </c>
      <c r="F103" s="45">
        <v>43.65</v>
      </c>
      <c r="G103" s="6">
        <v>301</v>
      </c>
      <c r="H103" s="48">
        <v>0</v>
      </c>
      <c r="I103" s="6">
        <v>0</v>
      </c>
      <c r="J103" s="8">
        <f t="shared" si="139"/>
        <v>18.915000000000003</v>
      </c>
      <c r="K103" s="24" t="s">
        <v>386</v>
      </c>
      <c r="L103" s="4">
        <v>14.55</v>
      </c>
      <c r="M103" s="3">
        <v>12.93</v>
      </c>
      <c r="N103" s="5">
        <f>17.41*1.8</f>
        <v>31.338</v>
      </c>
      <c r="O103" s="8">
        <f t="shared" si="140"/>
        <v>14.55</v>
      </c>
      <c r="P103" s="7">
        <f t="shared" si="181"/>
        <v>28.3725</v>
      </c>
      <c r="Q103" s="1">
        <f t="shared" si="141"/>
        <v>14.55</v>
      </c>
      <c r="R103" s="4">
        <f t="shared" si="142"/>
        <v>16.005000000000003</v>
      </c>
      <c r="S103" s="1">
        <f t="shared" si="143"/>
        <v>14.55</v>
      </c>
      <c r="T103" s="1">
        <v>21.75</v>
      </c>
      <c r="U103" s="27">
        <f>20.329999923706*3.14</f>
        <v>63.83619976043685</v>
      </c>
      <c r="V103" s="3">
        <f t="shared" si="144"/>
        <v>14.55</v>
      </c>
      <c r="W103" s="3">
        <f t="shared" si="145"/>
        <v>14.55</v>
      </c>
      <c r="X103" s="3">
        <f t="shared" si="146"/>
        <v>14.55</v>
      </c>
      <c r="Y103" s="3">
        <v>21.29</v>
      </c>
      <c r="Z103" s="3">
        <f t="shared" si="147"/>
        <v>13.8225</v>
      </c>
      <c r="AA103" s="3">
        <f t="shared" si="148"/>
        <v>13.8225</v>
      </c>
      <c r="AB103" s="3">
        <f t="shared" si="149"/>
        <v>14.55</v>
      </c>
      <c r="AC103" s="4">
        <f t="shared" si="150"/>
        <v>15.277500000000002</v>
      </c>
      <c r="AD103" s="3">
        <f t="shared" si="151"/>
        <v>14.55</v>
      </c>
      <c r="AE103" s="3">
        <f t="shared" si="152"/>
        <v>14.55</v>
      </c>
      <c r="AF103" s="3">
        <f t="shared" si="153"/>
        <v>13.386000000000001</v>
      </c>
      <c r="AG103" s="4">
        <f t="shared" si="154"/>
        <v>30.554999999999996</v>
      </c>
      <c r="AH103" s="8">
        <f t="shared" si="182"/>
        <v>14.55</v>
      </c>
      <c r="AI103" s="8">
        <f t="shared" si="173"/>
        <v>14.55</v>
      </c>
      <c r="AJ103" s="4">
        <f t="shared" si="155"/>
        <v>19.788000000000004</v>
      </c>
      <c r="AK103" s="1">
        <f t="shared" si="156"/>
        <v>14.55</v>
      </c>
      <c r="AL103" s="1">
        <f t="shared" si="157"/>
        <v>14.55</v>
      </c>
      <c r="AM103" s="2">
        <f t="shared" si="158"/>
        <v>14.55</v>
      </c>
      <c r="AN103" s="2">
        <f t="shared" si="159"/>
        <v>14.55</v>
      </c>
      <c r="AO103" s="3">
        <f t="shared" si="160"/>
        <v>12.93</v>
      </c>
      <c r="AP103" s="3">
        <f t="shared" si="183"/>
        <v>14.55</v>
      </c>
      <c r="AQ103" s="7">
        <f t="shared" si="161"/>
        <v>21.825</v>
      </c>
      <c r="AR103" s="1">
        <f t="shared" si="174"/>
        <v>32.325</v>
      </c>
      <c r="AS103" s="1">
        <f t="shared" si="162"/>
        <v>14.55</v>
      </c>
      <c r="AT103" s="3">
        <f t="shared" si="163"/>
        <v>17.46</v>
      </c>
      <c r="AU103" s="3">
        <f t="shared" si="186"/>
        <v>14.223</v>
      </c>
      <c r="AV103" s="1">
        <f t="shared" si="164"/>
        <v>14.55</v>
      </c>
      <c r="AW103" s="4">
        <f t="shared" si="138"/>
        <v>13.8225</v>
      </c>
      <c r="AX103" s="3" t="str">
        <f t="shared" si="165"/>
        <v>12.8 Per Unit</v>
      </c>
      <c r="AY103" s="3">
        <f t="shared" si="166"/>
        <v>14.55</v>
      </c>
      <c r="AZ103" s="1">
        <f t="shared" si="175"/>
        <v>14.55</v>
      </c>
      <c r="BA103" s="3">
        <f t="shared" si="176"/>
        <v>14.55</v>
      </c>
      <c r="BB103" s="3">
        <f t="shared" si="177"/>
        <v>14.55</v>
      </c>
      <c r="BC103" s="3">
        <f t="shared" si="178"/>
        <v>16.005000000000003</v>
      </c>
      <c r="BD103" s="3">
        <f t="shared" si="179"/>
        <v>13.095</v>
      </c>
      <c r="BE103" s="3">
        <f t="shared" si="167"/>
        <v>37.1025</v>
      </c>
      <c r="BF103" s="1">
        <f t="shared" si="168"/>
        <v>14.55</v>
      </c>
      <c r="BG103" s="8" t="str">
        <f t="shared" si="169"/>
        <v>13.82 Per Unit</v>
      </c>
      <c r="BH103" s="4">
        <f t="shared" si="184"/>
        <v>17.46</v>
      </c>
      <c r="BI103" s="1">
        <f t="shared" si="185"/>
        <v>14.55</v>
      </c>
      <c r="BJ103" s="3">
        <f t="shared" si="170"/>
        <v>13.8225</v>
      </c>
      <c r="BK103" s="1">
        <f t="shared" si="171"/>
        <v>14.55</v>
      </c>
      <c r="BL103" s="4">
        <v>13.095</v>
      </c>
      <c r="BM103" s="8">
        <f t="shared" si="172"/>
        <v>14.55</v>
      </c>
      <c r="BN103" s="3">
        <f>MIN(N103:BM103:BM103)</f>
        <v>12.93</v>
      </c>
      <c r="BO103" s="3">
        <f t="shared" si="180"/>
        <v>63.83619976043685</v>
      </c>
    </row>
    <row r="104" spans="1:67" ht="19.5" customHeight="1">
      <c r="A104" s="10">
        <f t="shared" si="137"/>
        <v>103</v>
      </c>
      <c r="B104" s="6">
        <v>82248</v>
      </c>
      <c r="C104" s="6">
        <v>3018224800</v>
      </c>
      <c r="D104" s="30" t="s">
        <v>9</v>
      </c>
      <c r="E104" s="11" t="s">
        <v>371</v>
      </c>
      <c r="F104" s="45">
        <v>15.06</v>
      </c>
      <c r="G104" s="23">
        <v>301</v>
      </c>
      <c r="H104" s="48">
        <v>0</v>
      </c>
      <c r="I104" s="6">
        <v>0</v>
      </c>
      <c r="J104" s="8">
        <f t="shared" si="139"/>
        <v>6.526</v>
      </c>
      <c r="K104" s="24" t="s">
        <v>386</v>
      </c>
      <c r="L104" s="4">
        <v>5.02</v>
      </c>
      <c r="M104" s="3">
        <v>4.41</v>
      </c>
      <c r="N104" s="5">
        <f>6*1.8</f>
        <v>10.8</v>
      </c>
      <c r="O104" s="8">
        <f t="shared" si="140"/>
        <v>5.02</v>
      </c>
      <c r="P104" s="7">
        <f t="shared" si="181"/>
        <v>9.789000000000001</v>
      </c>
      <c r="Q104" s="1">
        <f t="shared" si="141"/>
        <v>5.02</v>
      </c>
      <c r="R104" s="4">
        <f t="shared" si="142"/>
        <v>5.522</v>
      </c>
      <c r="S104" s="1">
        <f t="shared" si="143"/>
        <v>5.02</v>
      </c>
      <c r="T104" s="1">
        <v>7.43</v>
      </c>
      <c r="U104" s="26">
        <f>7.01999998092651*3.14</f>
        <v>22.042799940109244</v>
      </c>
      <c r="V104" s="3">
        <f t="shared" si="144"/>
        <v>5.02</v>
      </c>
      <c r="W104" s="3">
        <f t="shared" si="145"/>
        <v>5.02</v>
      </c>
      <c r="X104" s="3">
        <f t="shared" si="146"/>
        <v>5.02</v>
      </c>
      <c r="Y104" s="4">
        <v>7.34</v>
      </c>
      <c r="Z104" s="3">
        <f t="shared" si="147"/>
        <v>4.768999999999999</v>
      </c>
      <c r="AA104" s="3">
        <f t="shared" si="148"/>
        <v>4.768999999999999</v>
      </c>
      <c r="AB104" s="3">
        <f t="shared" si="149"/>
        <v>5.02</v>
      </c>
      <c r="AC104" s="4">
        <f t="shared" si="150"/>
        <v>5.271</v>
      </c>
      <c r="AD104" s="3">
        <f t="shared" si="151"/>
        <v>5.02</v>
      </c>
      <c r="AE104" s="3">
        <f t="shared" si="152"/>
        <v>5.02</v>
      </c>
      <c r="AF104" s="3">
        <f t="shared" si="153"/>
        <v>4.618399999999999</v>
      </c>
      <c r="AG104" s="4">
        <f t="shared" si="154"/>
        <v>10.542</v>
      </c>
      <c r="AH104" s="8">
        <f t="shared" si="182"/>
        <v>5.02</v>
      </c>
      <c r="AI104" s="8">
        <f t="shared" si="173"/>
        <v>5.02</v>
      </c>
      <c r="AJ104" s="4">
        <f t="shared" si="155"/>
        <v>6.8271999999999995</v>
      </c>
      <c r="AK104" s="1">
        <f t="shared" si="156"/>
        <v>5.02</v>
      </c>
      <c r="AL104" s="1">
        <f t="shared" si="157"/>
        <v>5.02</v>
      </c>
      <c r="AM104" s="2">
        <f t="shared" si="158"/>
        <v>5.02</v>
      </c>
      <c r="AN104" s="2">
        <f t="shared" si="159"/>
        <v>5.02</v>
      </c>
      <c r="AO104" s="3">
        <f t="shared" si="160"/>
        <v>4.41</v>
      </c>
      <c r="AP104" s="3">
        <f t="shared" si="183"/>
        <v>5.02</v>
      </c>
      <c r="AQ104" s="7">
        <f t="shared" si="161"/>
        <v>7.53</v>
      </c>
      <c r="AR104" s="1">
        <f t="shared" si="174"/>
        <v>11.025</v>
      </c>
      <c r="AS104" s="1">
        <f t="shared" si="162"/>
        <v>5.02</v>
      </c>
      <c r="AT104" s="3">
        <f t="shared" si="163"/>
        <v>6.024000000000001</v>
      </c>
      <c r="AU104" s="3">
        <f t="shared" si="186"/>
        <v>4.851000000000001</v>
      </c>
      <c r="AV104" s="1">
        <f t="shared" si="164"/>
        <v>5.02</v>
      </c>
      <c r="AW104" s="4">
        <f t="shared" si="138"/>
        <v>4.768999999999999</v>
      </c>
      <c r="AX104" s="3" t="str">
        <f t="shared" si="165"/>
        <v>4.42 Per Unit</v>
      </c>
      <c r="AY104" s="3">
        <f t="shared" si="166"/>
        <v>5.02</v>
      </c>
      <c r="AZ104" s="1">
        <f t="shared" si="175"/>
        <v>5.02</v>
      </c>
      <c r="BA104" s="3">
        <f t="shared" si="176"/>
        <v>5.02</v>
      </c>
      <c r="BB104" s="3">
        <f t="shared" si="177"/>
        <v>5.02</v>
      </c>
      <c r="BC104" s="3">
        <f t="shared" si="178"/>
        <v>5.522</v>
      </c>
      <c r="BD104" s="3">
        <f t="shared" si="179"/>
        <v>4.518</v>
      </c>
      <c r="BE104" s="3">
        <f t="shared" si="167"/>
        <v>12.801</v>
      </c>
      <c r="BF104" s="1">
        <f t="shared" si="168"/>
        <v>5.02</v>
      </c>
      <c r="BG104" s="8" t="str">
        <f t="shared" si="169"/>
        <v>4.77 Per Unit</v>
      </c>
      <c r="BH104" s="4">
        <f t="shared" si="184"/>
        <v>6.023999999999999</v>
      </c>
      <c r="BI104" s="1">
        <f t="shared" si="185"/>
        <v>5.02</v>
      </c>
      <c r="BJ104" s="3">
        <f t="shared" si="170"/>
        <v>4.768999999999999</v>
      </c>
      <c r="BK104" s="1">
        <f t="shared" si="171"/>
        <v>5.02</v>
      </c>
      <c r="BL104" s="4">
        <v>4.518</v>
      </c>
      <c r="BM104" s="8">
        <f t="shared" si="172"/>
        <v>5.02</v>
      </c>
      <c r="BN104" s="3">
        <f>MIN(N104:BM104:BM104)</f>
        <v>4.41</v>
      </c>
      <c r="BO104" s="3">
        <f t="shared" si="180"/>
        <v>22.042799940109244</v>
      </c>
    </row>
    <row r="105" spans="1:67" ht="19.5" customHeight="1">
      <c r="A105" s="10">
        <f t="shared" si="137"/>
        <v>104</v>
      </c>
      <c r="B105" s="6">
        <v>83516</v>
      </c>
      <c r="C105" s="6">
        <v>3018351600</v>
      </c>
      <c r="D105" s="30" t="s">
        <v>39</v>
      </c>
      <c r="E105" s="11" t="s">
        <v>371</v>
      </c>
      <c r="F105" s="45">
        <v>34.59</v>
      </c>
      <c r="G105" s="6">
        <v>301</v>
      </c>
      <c r="H105" s="48">
        <v>0</v>
      </c>
      <c r="I105" s="6">
        <v>0</v>
      </c>
      <c r="J105" s="8">
        <f t="shared" si="139"/>
        <v>14.988999999999999</v>
      </c>
      <c r="K105" s="24" t="s">
        <v>386</v>
      </c>
      <c r="L105" s="4">
        <v>11.53</v>
      </c>
      <c r="M105" s="3">
        <v>8.6</v>
      </c>
      <c r="N105" s="5">
        <f>11.11*1.8</f>
        <v>19.998</v>
      </c>
      <c r="O105" s="8">
        <f t="shared" si="140"/>
        <v>11.53</v>
      </c>
      <c r="P105" s="7">
        <f t="shared" si="181"/>
        <v>22.483500000000003</v>
      </c>
      <c r="Q105" s="1">
        <f t="shared" si="141"/>
        <v>11.53</v>
      </c>
      <c r="R105" s="4">
        <f t="shared" si="142"/>
        <v>12.683</v>
      </c>
      <c r="S105" s="1">
        <f t="shared" si="143"/>
        <v>11.53</v>
      </c>
      <c r="T105" s="1">
        <v>34.75</v>
      </c>
      <c r="U105" s="27">
        <f>12.9799995422363*3.14</f>
        <v>40.75719856262198</v>
      </c>
      <c r="V105" s="3">
        <f t="shared" si="144"/>
        <v>11.53</v>
      </c>
      <c r="W105" s="3">
        <f t="shared" si="145"/>
        <v>11.53</v>
      </c>
      <c r="X105" s="3">
        <f t="shared" si="146"/>
        <v>11.53</v>
      </c>
      <c r="Y105" s="3">
        <v>16.86</v>
      </c>
      <c r="Z105" s="3">
        <f t="shared" si="147"/>
        <v>10.953499999999998</v>
      </c>
      <c r="AA105" s="3">
        <f t="shared" si="148"/>
        <v>10.953499999999998</v>
      </c>
      <c r="AB105" s="3">
        <f t="shared" si="149"/>
        <v>11.53</v>
      </c>
      <c r="AC105" s="4">
        <f t="shared" si="150"/>
        <v>12.1065</v>
      </c>
      <c r="AD105" s="3">
        <f t="shared" si="151"/>
        <v>11.53</v>
      </c>
      <c r="AE105" s="3">
        <f t="shared" si="152"/>
        <v>11.53</v>
      </c>
      <c r="AF105" s="3">
        <f t="shared" si="153"/>
        <v>10.6076</v>
      </c>
      <c r="AG105" s="4">
        <f t="shared" si="154"/>
        <v>24.213</v>
      </c>
      <c r="AH105" s="8">
        <f t="shared" si="182"/>
        <v>11.53</v>
      </c>
      <c r="AI105" s="8">
        <f t="shared" si="173"/>
        <v>11.53</v>
      </c>
      <c r="AJ105" s="4">
        <f t="shared" si="155"/>
        <v>15.6808</v>
      </c>
      <c r="AK105" s="1">
        <f t="shared" si="156"/>
        <v>11.53</v>
      </c>
      <c r="AL105" s="1">
        <f t="shared" si="157"/>
        <v>11.53</v>
      </c>
      <c r="AM105" s="2">
        <f t="shared" si="158"/>
        <v>11.53</v>
      </c>
      <c r="AN105" s="2">
        <f t="shared" si="159"/>
        <v>11.53</v>
      </c>
      <c r="AO105" s="3">
        <f t="shared" si="160"/>
        <v>8.6</v>
      </c>
      <c r="AP105" s="3">
        <f t="shared" si="183"/>
        <v>11.53</v>
      </c>
      <c r="AQ105" s="7">
        <f t="shared" si="161"/>
        <v>17.295</v>
      </c>
      <c r="AR105" s="1">
        <f t="shared" si="174"/>
        <v>21.5</v>
      </c>
      <c r="AS105" s="1">
        <f t="shared" si="162"/>
        <v>11.53</v>
      </c>
      <c r="AT105" s="3">
        <f t="shared" si="163"/>
        <v>13.836000000000002</v>
      </c>
      <c r="AU105" s="3">
        <f t="shared" si="186"/>
        <v>9.46</v>
      </c>
      <c r="AV105" s="1">
        <f t="shared" si="164"/>
        <v>11.53</v>
      </c>
      <c r="AW105" s="4">
        <f t="shared" si="138"/>
        <v>10.953499999999998</v>
      </c>
      <c r="AX105" s="3" t="str">
        <f t="shared" si="165"/>
        <v>10.15 Per Unit</v>
      </c>
      <c r="AY105" s="3">
        <f t="shared" si="166"/>
        <v>11.53</v>
      </c>
      <c r="AZ105" s="1">
        <f t="shared" si="175"/>
        <v>11.53</v>
      </c>
      <c r="BA105" s="3">
        <f t="shared" si="176"/>
        <v>11.53</v>
      </c>
      <c r="BB105" s="3">
        <f t="shared" si="177"/>
        <v>11.53</v>
      </c>
      <c r="BC105" s="3">
        <f t="shared" si="178"/>
        <v>12.683</v>
      </c>
      <c r="BD105" s="3">
        <f t="shared" si="179"/>
        <v>10.376999999999999</v>
      </c>
      <c r="BE105" s="3">
        <f t="shared" si="167"/>
        <v>29.401500000000002</v>
      </c>
      <c r="BF105" s="1">
        <f t="shared" si="168"/>
        <v>11.53</v>
      </c>
      <c r="BG105" s="8" t="str">
        <f t="shared" si="169"/>
        <v>10.95 Per Unit</v>
      </c>
      <c r="BH105" s="4">
        <f t="shared" si="184"/>
        <v>13.835999999999999</v>
      </c>
      <c r="BI105" s="1">
        <f t="shared" si="185"/>
        <v>11.53</v>
      </c>
      <c r="BJ105" s="3">
        <f t="shared" si="170"/>
        <v>10.953499999999998</v>
      </c>
      <c r="BK105" s="1">
        <f t="shared" si="171"/>
        <v>11.53</v>
      </c>
      <c r="BL105" s="4">
        <v>10.376999999999999</v>
      </c>
      <c r="BM105" s="8">
        <f t="shared" si="172"/>
        <v>11.53</v>
      </c>
      <c r="BN105" s="3">
        <f>MIN(N105:BM105:BM105)</f>
        <v>8.6</v>
      </c>
      <c r="BO105" s="3">
        <f t="shared" si="180"/>
        <v>40.75719856262198</v>
      </c>
    </row>
    <row r="106" spans="1:67" ht="19.5" customHeight="1">
      <c r="A106" s="10">
        <f t="shared" si="137"/>
        <v>105</v>
      </c>
      <c r="B106" s="6">
        <v>84436</v>
      </c>
      <c r="C106" s="6">
        <v>3018443600</v>
      </c>
      <c r="D106" s="30" t="s">
        <v>7</v>
      </c>
      <c r="E106" s="11" t="s">
        <v>371</v>
      </c>
      <c r="F106" s="45">
        <v>20.61</v>
      </c>
      <c r="G106" s="6">
        <v>301</v>
      </c>
      <c r="H106" s="48">
        <v>0</v>
      </c>
      <c r="I106" s="6">
        <v>0</v>
      </c>
      <c r="J106" s="8">
        <f t="shared" si="139"/>
        <v>8.931000000000001</v>
      </c>
      <c r="K106" s="24" t="s">
        <v>386</v>
      </c>
      <c r="L106" s="4">
        <v>6.87</v>
      </c>
      <c r="M106" s="3">
        <v>6.03</v>
      </c>
      <c r="N106" s="5">
        <f>8.22*1.8</f>
        <v>14.796000000000001</v>
      </c>
      <c r="O106" s="8">
        <f t="shared" si="140"/>
        <v>6.87</v>
      </c>
      <c r="P106" s="7">
        <f t="shared" si="181"/>
        <v>13.3965</v>
      </c>
      <c r="Q106" s="1">
        <f t="shared" si="141"/>
        <v>6.87</v>
      </c>
      <c r="R106" s="4">
        <f t="shared" si="142"/>
        <v>7.557</v>
      </c>
      <c r="S106" s="1">
        <f t="shared" si="143"/>
        <v>6.87</v>
      </c>
      <c r="T106" s="1">
        <v>10.21</v>
      </c>
      <c r="U106" s="27">
        <f>9.60999965667724*3.14</f>
        <v>30.175398921966536</v>
      </c>
      <c r="V106" s="3">
        <f t="shared" si="144"/>
        <v>6.87</v>
      </c>
      <c r="W106" s="3">
        <f t="shared" si="145"/>
        <v>6.87</v>
      </c>
      <c r="X106" s="3">
        <f t="shared" si="146"/>
        <v>6.87</v>
      </c>
      <c r="Y106" s="3">
        <v>10.07</v>
      </c>
      <c r="Z106" s="3">
        <f t="shared" si="147"/>
        <v>6.5264999999999995</v>
      </c>
      <c r="AA106" s="3">
        <f t="shared" si="148"/>
        <v>6.5264999999999995</v>
      </c>
      <c r="AB106" s="3">
        <f t="shared" si="149"/>
        <v>6.87</v>
      </c>
      <c r="AC106" s="4">
        <f t="shared" si="150"/>
        <v>7.213500000000001</v>
      </c>
      <c r="AD106" s="3">
        <f t="shared" si="151"/>
        <v>6.87</v>
      </c>
      <c r="AE106" s="3">
        <f t="shared" si="152"/>
        <v>6.87</v>
      </c>
      <c r="AF106" s="3">
        <f t="shared" si="153"/>
        <v>6.3204</v>
      </c>
      <c r="AG106" s="4">
        <f t="shared" si="154"/>
        <v>14.426999999999998</v>
      </c>
      <c r="AH106" s="8">
        <f t="shared" si="182"/>
        <v>6.87</v>
      </c>
      <c r="AI106" s="8">
        <f t="shared" si="173"/>
        <v>6.87</v>
      </c>
      <c r="AJ106" s="4">
        <f t="shared" si="155"/>
        <v>9.343200000000001</v>
      </c>
      <c r="AK106" s="1">
        <f t="shared" si="156"/>
        <v>6.87</v>
      </c>
      <c r="AL106" s="1">
        <f t="shared" si="157"/>
        <v>6.87</v>
      </c>
      <c r="AM106" s="2">
        <f t="shared" si="158"/>
        <v>6.87</v>
      </c>
      <c r="AN106" s="2">
        <f t="shared" si="159"/>
        <v>6.87</v>
      </c>
      <c r="AO106" s="3">
        <f t="shared" si="160"/>
        <v>6.03</v>
      </c>
      <c r="AP106" s="3">
        <f t="shared" si="183"/>
        <v>6.87</v>
      </c>
      <c r="AQ106" s="7">
        <f t="shared" si="161"/>
        <v>10.305</v>
      </c>
      <c r="AR106" s="1">
        <f t="shared" si="174"/>
        <v>15.075000000000001</v>
      </c>
      <c r="AS106" s="1">
        <f t="shared" si="162"/>
        <v>6.87</v>
      </c>
      <c r="AT106" s="3">
        <f t="shared" si="163"/>
        <v>8.244</v>
      </c>
      <c r="AU106" s="3">
        <f t="shared" si="186"/>
        <v>6.633000000000001</v>
      </c>
      <c r="AV106" s="1">
        <f t="shared" si="164"/>
        <v>6.87</v>
      </c>
      <c r="AW106" s="4">
        <f t="shared" si="138"/>
        <v>6.5264999999999995</v>
      </c>
      <c r="AX106" s="3" t="str">
        <f t="shared" si="165"/>
        <v>6.05 Per Unit</v>
      </c>
      <c r="AY106" s="3">
        <f t="shared" si="166"/>
        <v>6.87</v>
      </c>
      <c r="AZ106" s="1">
        <f t="shared" si="175"/>
        <v>6.87</v>
      </c>
      <c r="BA106" s="3">
        <f t="shared" si="176"/>
        <v>6.87</v>
      </c>
      <c r="BB106" s="3">
        <f t="shared" si="177"/>
        <v>6.87</v>
      </c>
      <c r="BC106" s="3">
        <f t="shared" si="178"/>
        <v>7.557</v>
      </c>
      <c r="BD106" s="3">
        <f t="shared" si="179"/>
        <v>6.183</v>
      </c>
      <c r="BE106" s="3">
        <f t="shared" si="167"/>
        <v>17.5185</v>
      </c>
      <c r="BF106" s="1">
        <f t="shared" si="168"/>
        <v>6.87</v>
      </c>
      <c r="BG106" s="8" t="str">
        <f t="shared" si="169"/>
        <v>6.53 Per Unit</v>
      </c>
      <c r="BH106" s="4">
        <f t="shared" si="184"/>
        <v>8.244</v>
      </c>
      <c r="BI106" s="1">
        <f t="shared" si="185"/>
        <v>6.87</v>
      </c>
      <c r="BJ106" s="3">
        <f t="shared" si="170"/>
        <v>6.5264999999999995</v>
      </c>
      <c r="BK106" s="1">
        <f t="shared" si="171"/>
        <v>6.87</v>
      </c>
      <c r="BL106" s="4">
        <v>6.183</v>
      </c>
      <c r="BM106" s="8">
        <f t="shared" si="172"/>
        <v>6.87</v>
      </c>
      <c r="BN106" s="3">
        <f>MIN(N106:BM106:BM106)</f>
        <v>6.03</v>
      </c>
      <c r="BO106" s="3">
        <f t="shared" si="180"/>
        <v>30.175398921966536</v>
      </c>
    </row>
    <row r="107" spans="1:67" ht="19.5" customHeight="1">
      <c r="A107" s="10">
        <f t="shared" si="137"/>
        <v>106</v>
      </c>
      <c r="B107" s="6">
        <v>86765</v>
      </c>
      <c r="C107" s="6">
        <v>3028676500</v>
      </c>
      <c r="D107" s="30" t="s">
        <v>48</v>
      </c>
      <c r="E107" s="11" t="s">
        <v>371</v>
      </c>
      <c r="F107" s="45">
        <v>38.64</v>
      </c>
      <c r="G107" s="6">
        <v>302</v>
      </c>
      <c r="H107" s="48">
        <v>0</v>
      </c>
      <c r="I107" s="6">
        <v>0</v>
      </c>
      <c r="J107" s="8">
        <f t="shared" si="139"/>
        <v>16.744000000000003</v>
      </c>
      <c r="K107" s="24" t="s">
        <v>386</v>
      </c>
      <c r="L107" s="4">
        <v>12.88</v>
      </c>
      <c r="M107" s="3">
        <v>11.45</v>
      </c>
      <c r="N107" s="5">
        <f>15.41*1.8</f>
        <v>27.738</v>
      </c>
      <c r="O107" s="8">
        <f t="shared" si="140"/>
        <v>12.88</v>
      </c>
      <c r="P107" s="7">
        <f t="shared" si="181"/>
        <v>25.116</v>
      </c>
      <c r="Q107" s="1">
        <f t="shared" si="141"/>
        <v>12.88</v>
      </c>
      <c r="R107" s="4">
        <f t="shared" si="142"/>
        <v>14.168000000000003</v>
      </c>
      <c r="S107" s="1">
        <f t="shared" si="143"/>
        <v>12.88</v>
      </c>
      <c r="T107" s="1">
        <v>19.14</v>
      </c>
      <c r="U107" s="27">
        <f>18*3.14</f>
        <v>56.52</v>
      </c>
      <c r="V107" s="3">
        <f t="shared" si="144"/>
        <v>12.88</v>
      </c>
      <c r="W107" s="3">
        <f t="shared" si="145"/>
        <v>12.88</v>
      </c>
      <c r="X107" s="3">
        <f t="shared" si="146"/>
        <v>12.88</v>
      </c>
      <c r="Y107" s="3">
        <v>18.84</v>
      </c>
      <c r="Z107" s="3">
        <f t="shared" si="147"/>
        <v>12.236</v>
      </c>
      <c r="AA107" s="3">
        <f t="shared" si="148"/>
        <v>12.236</v>
      </c>
      <c r="AB107" s="3">
        <f t="shared" si="149"/>
        <v>12.88</v>
      </c>
      <c r="AC107" s="4">
        <f t="shared" si="150"/>
        <v>13.524000000000001</v>
      </c>
      <c r="AD107" s="3">
        <f t="shared" si="151"/>
        <v>12.88</v>
      </c>
      <c r="AE107" s="3">
        <f t="shared" si="152"/>
        <v>12.88</v>
      </c>
      <c r="AF107" s="3">
        <f t="shared" si="153"/>
        <v>11.8496</v>
      </c>
      <c r="AG107" s="4">
        <f t="shared" si="154"/>
        <v>27.048</v>
      </c>
      <c r="AH107" s="8">
        <f t="shared" si="182"/>
        <v>12.88</v>
      </c>
      <c r="AI107" s="8">
        <f t="shared" si="173"/>
        <v>12.88</v>
      </c>
      <c r="AJ107" s="4">
        <f t="shared" si="155"/>
        <v>17.516800000000003</v>
      </c>
      <c r="AK107" s="1">
        <f t="shared" si="156"/>
        <v>12.88</v>
      </c>
      <c r="AL107" s="1">
        <f t="shared" si="157"/>
        <v>12.88</v>
      </c>
      <c r="AM107" s="2">
        <f t="shared" si="158"/>
        <v>12.88</v>
      </c>
      <c r="AN107" s="2">
        <f t="shared" si="159"/>
        <v>12.88</v>
      </c>
      <c r="AO107" s="3">
        <f t="shared" si="160"/>
        <v>11.45</v>
      </c>
      <c r="AP107" s="3">
        <f t="shared" si="183"/>
        <v>12.88</v>
      </c>
      <c r="AQ107" s="7">
        <f t="shared" si="161"/>
        <v>19.32</v>
      </c>
      <c r="AR107" s="1">
        <f t="shared" si="174"/>
        <v>28.625</v>
      </c>
      <c r="AS107" s="1">
        <f t="shared" si="162"/>
        <v>12.88</v>
      </c>
      <c r="AT107" s="3">
        <f t="shared" si="163"/>
        <v>15.456000000000001</v>
      </c>
      <c r="AU107" s="3">
        <f t="shared" si="186"/>
        <v>12.595</v>
      </c>
      <c r="AV107" s="1">
        <f t="shared" si="164"/>
        <v>12.88</v>
      </c>
      <c r="AW107" s="4">
        <f t="shared" si="138"/>
        <v>12.236</v>
      </c>
      <c r="AX107" s="3" t="str">
        <f t="shared" si="165"/>
        <v>11.33 Per Unit</v>
      </c>
      <c r="AY107" s="3">
        <f t="shared" si="166"/>
        <v>12.88</v>
      </c>
      <c r="AZ107" s="1">
        <f t="shared" si="175"/>
        <v>12.88</v>
      </c>
      <c r="BA107" s="3">
        <f t="shared" si="176"/>
        <v>12.88</v>
      </c>
      <c r="BB107" s="3">
        <f t="shared" si="177"/>
        <v>12.88</v>
      </c>
      <c r="BC107" s="3">
        <f t="shared" si="178"/>
        <v>14.168000000000003</v>
      </c>
      <c r="BD107" s="3">
        <f t="shared" si="179"/>
        <v>11.592</v>
      </c>
      <c r="BE107" s="3">
        <f t="shared" si="167"/>
        <v>32.844</v>
      </c>
      <c r="BF107" s="1">
        <f t="shared" si="168"/>
        <v>12.88</v>
      </c>
      <c r="BG107" s="8" t="str">
        <f t="shared" si="169"/>
        <v>12.24 Per Unit</v>
      </c>
      <c r="BH107" s="4">
        <f t="shared" si="184"/>
        <v>15.456</v>
      </c>
      <c r="BI107" s="1">
        <f t="shared" si="185"/>
        <v>12.88</v>
      </c>
      <c r="BJ107" s="3">
        <f t="shared" si="170"/>
        <v>12.236</v>
      </c>
      <c r="BK107" s="1">
        <f t="shared" si="171"/>
        <v>12.88</v>
      </c>
      <c r="BL107" s="4">
        <v>11.592</v>
      </c>
      <c r="BM107" s="8">
        <f t="shared" si="172"/>
        <v>12.88</v>
      </c>
      <c r="BN107" s="3">
        <f>MIN(N107:BM107:BM107)</f>
        <v>11.45</v>
      </c>
      <c r="BO107" s="3">
        <f t="shared" si="180"/>
        <v>56.52</v>
      </c>
    </row>
    <row r="108" spans="1:67" ht="19.5" customHeight="1">
      <c r="A108" s="10">
        <f t="shared" si="137"/>
        <v>107</v>
      </c>
      <c r="B108" s="6">
        <v>83605</v>
      </c>
      <c r="C108" s="6">
        <v>3018360500</v>
      </c>
      <c r="D108" s="30" t="s">
        <v>340</v>
      </c>
      <c r="E108" s="11" t="s">
        <v>371</v>
      </c>
      <c r="F108" s="45">
        <v>34.71</v>
      </c>
      <c r="G108" s="6">
        <v>301</v>
      </c>
      <c r="H108" s="48">
        <v>0</v>
      </c>
      <c r="I108" s="6">
        <v>0</v>
      </c>
      <c r="J108" s="8">
        <f t="shared" si="139"/>
        <v>15.041</v>
      </c>
      <c r="K108" s="24" t="s">
        <v>386</v>
      </c>
      <c r="L108" s="4">
        <v>11.57</v>
      </c>
      <c r="M108" s="3">
        <v>9.41</v>
      </c>
      <c r="N108" s="5">
        <f>12.78*1.8</f>
        <v>23.003999999999998</v>
      </c>
      <c r="O108" s="8">
        <f t="shared" si="140"/>
        <v>11.57</v>
      </c>
      <c r="P108" s="7">
        <f t="shared" si="181"/>
        <v>22.561500000000002</v>
      </c>
      <c r="Q108" s="1">
        <f t="shared" si="141"/>
        <v>11.57</v>
      </c>
      <c r="R108" s="4">
        <f t="shared" si="142"/>
        <v>12.727000000000002</v>
      </c>
      <c r="S108" s="1">
        <f t="shared" si="143"/>
        <v>11.57</v>
      </c>
      <c r="T108" s="1">
        <v>15.86</v>
      </c>
      <c r="U108" s="27">
        <f>14.9200000762939*3.14</f>
        <v>46.84880023956285</v>
      </c>
      <c r="V108" s="3">
        <f t="shared" si="144"/>
        <v>11.57</v>
      </c>
      <c r="W108" s="3">
        <f t="shared" si="145"/>
        <v>11.57</v>
      </c>
      <c r="X108" s="3">
        <f t="shared" si="146"/>
        <v>11.57</v>
      </c>
      <c r="Y108" s="3">
        <v>16.92</v>
      </c>
      <c r="Z108" s="3">
        <f t="shared" si="147"/>
        <v>10.9915</v>
      </c>
      <c r="AA108" s="3">
        <f t="shared" si="148"/>
        <v>10.9915</v>
      </c>
      <c r="AB108" s="3">
        <f t="shared" si="149"/>
        <v>11.57</v>
      </c>
      <c r="AC108" s="4">
        <f t="shared" si="150"/>
        <v>12.1485</v>
      </c>
      <c r="AD108" s="3">
        <f t="shared" si="151"/>
        <v>11.57</v>
      </c>
      <c r="AE108" s="3">
        <f t="shared" si="152"/>
        <v>11.57</v>
      </c>
      <c r="AF108" s="3">
        <f t="shared" si="153"/>
        <v>10.644400000000001</v>
      </c>
      <c r="AG108" s="4">
        <f t="shared" si="154"/>
        <v>24.297</v>
      </c>
      <c r="AH108" s="8">
        <f t="shared" si="182"/>
        <v>11.57</v>
      </c>
      <c r="AI108" s="8">
        <f t="shared" si="173"/>
        <v>11.57</v>
      </c>
      <c r="AJ108" s="4">
        <f t="shared" si="155"/>
        <v>15.7352</v>
      </c>
      <c r="AK108" s="1">
        <f t="shared" si="156"/>
        <v>11.57</v>
      </c>
      <c r="AL108" s="1">
        <f t="shared" si="157"/>
        <v>11.57</v>
      </c>
      <c r="AM108" s="2">
        <f t="shared" si="158"/>
        <v>11.57</v>
      </c>
      <c r="AN108" s="2">
        <f t="shared" si="159"/>
        <v>11.57</v>
      </c>
      <c r="AO108" s="3">
        <f t="shared" si="160"/>
        <v>9.41</v>
      </c>
      <c r="AP108" s="3">
        <f t="shared" si="183"/>
        <v>11.57</v>
      </c>
      <c r="AQ108" s="7">
        <f t="shared" si="161"/>
        <v>17.355</v>
      </c>
      <c r="AR108" s="1">
        <f t="shared" si="174"/>
        <v>23.525</v>
      </c>
      <c r="AS108" s="1">
        <f t="shared" si="162"/>
        <v>11.57</v>
      </c>
      <c r="AT108" s="3">
        <f t="shared" si="163"/>
        <v>13.884</v>
      </c>
      <c r="AU108" s="3">
        <f t="shared" si="186"/>
        <v>10.351</v>
      </c>
      <c r="AV108" s="1">
        <f t="shared" si="164"/>
        <v>11.57</v>
      </c>
      <c r="AW108" s="4">
        <f t="shared" si="138"/>
        <v>10.9915</v>
      </c>
      <c r="AX108" s="3" t="str">
        <f t="shared" si="165"/>
        <v>10.18 Per Unit</v>
      </c>
      <c r="AY108" s="3">
        <f t="shared" si="166"/>
        <v>11.57</v>
      </c>
      <c r="AZ108" s="1">
        <f t="shared" si="175"/>
        <v>11.57</v>
      </c>
      <c r="BA108" s="3">
        <f t="shared" si="176"/>
        <v>11.57</v>
      </c>
      <c r="BB108" s="3">
        <f t="shared" si="177"/>
        <v>11.57</v>
      </c>
      <c r="BC108" s="3">
        <f t="shared" si="178"/>
        <v>12.727000000000002</v>
      </c>
      <c r="BD108" s="3">
        <f t="shared" si="179"/>
        <v>10.413</v>
      </c>
      <c r="BE108" s="3">
        <f t="shared" si="167"/>
        <v>29.5035</v>
      </c>
      <c r="BF108" s="1">
        <f t="shared" si="168"/>
        <v>11.57</v>
      </c>
      <c r="BG108" s="8" t="str">
        <f t="shared" si="169"/>
        <v>10.99 Per Unit</v>
      </c>
      <c r="BH108" s="4">
        <f t="shared" si="184"/>
        <v>13.884</v>
      </c>
      <c r="BI108" s="1">
        <f t="shared" si="185"/>
        <v>11.57</v>
      </c>
      <c r="BJ108" s="3">
        <f t="shared" si="170"/>
        <v>10.9915</v>
      </c>
      <c r="BK108" s="1">
        <f t="shared" si="171"/>
        <v>11.57</v>
      </c>
      <c r="BL108" s="4">
        <v>10.413</v>
      </c>
      <c r="BM108" s="8">
        <f t="shared" si="172"/>
        <v>11.57</v>
      </c>
      <c r="BN108" s="3">
        <f>MIN(N108:BM108:BM108)</f>
        <v>9.41</v>
      </c>
      <c r="BO108" s="3">
        <f t="shared" si="180"/>
        <v>46.84880023956285</v>
      </c>
    </row>
    <row r="109" spans="1:67" ht="19.5" customHeight="1">
      <c r="A109" s="10">
        <f t="shared" si="137"/>
        <v>108</v>
      </c>
      <c r="B109" s="6">
        <v>83615</v>
      </c>
      <c r="C109" s="6">
        <v>3018361500</v>
      </c>
      <c r="D109" s="30" t="s">
        <v>341</v>
      </c>
      <c r="E109" s="11" t="s">
        <v>371</v>
      </c>
      <c r="F109" s="45">
        <v>18.12</v>
      </c>
      <c r="G109" s="6">
        <v>301</v>
      </c>
      <c r="H109" s="48">
        <v>0</v>
      </c>
      <c r="I109" s="6">
        <v>0</v>
      </c>
      <c r="J109" s="8">
        <f t="shared" si="139"/>
        <v>7.852</v>
      </c>
      <c r="K109" s="24" t="s">
        <v>386</v>
      </c>
      <c r="L109" s="4">
        <v>6.04</v>
      </c>
      <c r="M109" s="3">
        <v>5.37</v>
      </c>
      <c r="N109" s="5">
        <f>7.23*1.8</f>
        <v>13.014000000000001</v>
      </c>
      <c r="O109" s="8">
        <f t="shared" si="140"/>
        <v>6.04</v>
      </c>
      <c r="P109" s="7">
        <f t="shared" si="181"/>
        <v>11.778</v>
      </c>
      <c r="Q109" s="1">
        <f t="shared" si="141"/>
        <v>6.04</v>
      </c>
      <c r="R109" s="4">
        <f t="shared" si="142"/>
        <v>6.644000000000001</v>
      </c>
      <c r="S109" s="1">
        <f t="shared" si="143"/>
        <v>6.04</v>
      </c>
      <c r="T109" s="1">
        <v>8.94</v>
      </c>
      <c r="U109" s="27">
        <f>8.4399995803833*3.14</f>
        <v>26.501598682403564</v>
      </c>
      <c r="V109" s="3">
        <f t="shared" si="144"/>
        <v>6.04</v>
      </c>
      <c r="W109" s="3">
        <f t="shared" si="145"/>
        <v>6.04</v>
      </c>
      <c r="X109" s="3">
        <f t="shared" si="146"/>
        <v>6.04</v>
      </c>
      <c r="Y109" s="3">
        <v>8.85</v>
      </c>
      <c r="Z109" s="3">
        <f t="shared" si="147"/>
        <v>5.7379999999999995</v>
      </c>
      <c r="AA109" s="3">
        <f t="shared" si="148"/>
        <v>5.7379999999999995</v>
      </c>
      <c r="AB109" s="3">
        <f t="shared" si="149"/>
        <v>6.04</v>
      </c>
      <c r="AC109" s="4">
        <f t="shared" si="150"/>
        <v>6.3420000000000005</v>
      </c>
      <c r="AD109" s="3">
        <f t="shared" si="151"/>
        <v>6.04</v>
      </c>
      <c r="AE109" s="3">
        <f t="shared" si="152"/>
        <v>6.04</v>
      </c>
      <c r="AF109" s="3">
        <f t="shared" si="153"/>
        <v>5.5568</v>
      </c>
      <c r="AG109" s="4">
        <f t="shared" si="154"/>
        <v>12.684</v>
      </c>
      <c r="AH109" s="8">
        <f t="shared" si="182"/>
        <v>6.04</v>
      </c>
      <c r="AI109" s="8">
        <f t="shared" si="173"/>
        <v>6.04</v>
      </c>
      <c r="AJ109" s="4">
        <f t="shared" si="155"/>
        <v>8.214400000000001</v>
      </c>
      <c r="AK109" s="1">
        <f t="shared" si="156"/>
        <v>6.04</v>
      </c>
      <c r="AL109" s="1">
        <f t="shared" si="157"/>
        <v>6.04</v>
      </c>
      <c r="AM109" s="2">
        <f t="shared" si="158"/>
        <v>6.04</v>
      </c>
      <c r="AN109" s="2">
        <f t="shared" si="159"/>
        <v>6.04</v>
      </c>
      <c r="AO109" s="3">
        <f t="shared" si="160"/>
        <v>5.37</v>
      </c>
      <c r="AP109" s="3">
        <f t="shared" si="183"/>
        <v>6.04</v>
      </c>
      <c r="AQ109" s="7">
        <f t="shared" si="161"/>
        <v>9.06</v>
      </c>
      <c r="AR109" s="1">
        <f t="shared" si="174"/>
        <v>13.425</v>
      </c>
      <c r="AS109" s="1">
        <f t="shared" si="162"/>
        <v>6.04</v>
      </c>
      <c r="AT109" s="3">
        <f t="shared" si="163"/>
        <v>7.248000000000001</v>
      </c>
      <c r="AU109" s="3">
        <f t="shared" si="186"/>
        <v>5.907000000000001</v>
      </c>
      <c r="AV109" s="1">
        <f t="shared" si="164"/>
        <v>6.04</v>
      </c>
      <c r="AW109" s="4">
        <f t="shared" si="138"/>
        <v>5.7379999999999995</v>
      </c>
      <c r="AX109" s="3" t="str">
        <f t="shared" si="165"/>
        <v>5.32 Per Unit</v>
      </c>
      <c r="AY109" s="3">
        <f t="shared" si="166"/>
        <v>6.04</v>
      </c>
      <c r="AZ109" s="1">
        <f t="shared" si="175"/>
        <v>6.04</v>
      </c>
      <c r="BA109" s="3">
        <f t="shared" si="176"/>
        <v>6.04</v>
      </c>
      <c r="BB109" s="3">
        <f t="shared" si="177"/>
        <v>6.04</v>
      </c>
      <c r="BC109" s="3">
        <f t="shared" si="178"/>
        <v>6.644000000000001</v>
      </c>
      <c r="BD109" s="3">
        <f t="shared" si="179"/>
        <v>5.436</v>
      </c>
      <c r="BE109" s="3">
        <f t="shared" si="167"/>
        <v>15.402000000000001</v>
      </c>
      <c r="BF109" s="1">
        <f t="shared" si="168"/>
        <v>6.04</v>
      </c>
      <c r="BG109" s="8" t="str">
        <f t="shared" si="169"/>
        <v>5.74 Per Unit</v>
      </c>
      <c r="BH109" s="4">
        <f t="shared" si="184"/>
        <v>7.247999999999999</v>
      </c>
      <c r="BI109" s="1">
        <f t="shared" si="185"/>
        <v>6.04</v>
      </c>
      <c r="BJ109" s="3">
        <f t="shared" si="170"/>
        <v>5.7379999999999995</v>
      </c>
      <c r="BK109" s="1">
        <f t="shared" si="171"/>
        <v>6.04</v>
      </c>
      <c r="BL109" s="4">
        <v>5.436</v>
      </c>
      <c r="BM109" s="8">
        <f t="shared" si="172"/>
        <v>6.04</v>
      </c>
      <c r="BN109" s="3">
        <f>MIN(N109:BM109:BM109)</f>
        <v>5.37</v>
      </c>
      <c r="BO109" s="3">
        <f t="shared" si="180"/>
        <v>26.501598682403564</v>
      </c>
    </row>
    <row r="110" spans="1:67" ht="19.5" customHeight="1">
      <c r="A110" s="10">
        <f t="shared" si="137"/>
        <v>109</v>
      </c>
      <c r="B110" s="6">
        <v>84181</v>
      </c>
      <c r="C110" s="6">
        <v>3018418100</v>
      </c>
      <c r="D110" s="30" t="s">
        <v>36</v>
      </c>
      <c r="E110" s="11" t="s">
        <v>371</v>
      </c>
      <c r="F110" s="45">
        <v>51.09</v>
      </c>
      <c r="G110" s="6">
        <v>301</v>
      </c>
      <c r="H110" s="48">
        <v>0</v>
      </c>
      <c r="I110" s="6">
        <v>0</v>
      </c>
      <c r="J110" s="8">
        <f t="shared" si="139"/>
        <v>22.139000000000003</v>
      </c>
      <c r="K110" s="24" t="s">
        <v>386</v>
      </c>
      <c r="L110" s="4">
        <v>17.03</v>
      </c>
      <c r="M110" s="3">
        <v>15.14</v>
      </c>
      <c r="N110" s="5">
        <f>20.37*1.8</f>
        <v>36.666000000000004</v>
      </c>
      <c r="O110" s="8">
        <f t="shared" si="140"/>
        <v>17.03</v>
      </c>
      <c r="P110" s="7">
        <f t="shared" si="181"/>
        <v>33.2085</v>
      </c>
      <c r="Q110" s="1">
        <f t="shared" si="141"/>
        <v>17.03</v>
      </c>
      <c r="R110" s="4">
        <f t="shared" si="142"/>
        <v>18.733000000000004</v>
      </c>
      <c r="S110" s="1">
        <f t="shared" si="143"/>
        <v>17.03</v>
      </c>
      <c r="T110" s="1">
        <v>25.3</v>
      </c>
      <c r="U110" s="27">
        <f>23.8*3.14</f>
        <v>74.732</v>
      </c>
      <c r="V110" s="3">
        <f t="shared" si="144"/>
        <v>17.03</v>
      </c>
      <c r="W110" s="3">
        <f t="shared" si="145"/>
        <v>17.03</v>
      </c>
      <c r="X110" s="3">
        <f t="shared" si="146"/>
        <v>17.03</v>
      </c>
      <c r="Y110" s="3">
        <v>24.92</v>
      </c>
      <c r="Z110" s="3">
        <f t="shared" si="147"/>
        <v>16.1785</v>
      </c>
      <c r="AA110" s="3">
        <f t="shared" si="148"/>
        <v>16.1785</v>
      </c>
      <c r="AB110" s="3">
        <f t="shared" si="149"/>
        <v>17.03</v>
      </c>
      <c r="AC110" s="4">
        <f t="shared" si="150"/>
        <v>17.881500000000003</v>
      </c>
      <c r="AD110" s="3">
        <f t="shared" si="151"/>
        <v>17.03</v>
      </c>
      <c r="AE110" s="3">
        <f t="shared" si="152"/>
        <v>17.03</v>
      </c>
      <c r="AF110" s="3">
        <f t="shared" si="153"/>
        <v>15.667600000000002</v>
      </c>
      <c r="AG110" s="4">
        <f t="shared" si="154"/>
        <v>35.763</v>
      </c>
      <c r="AH110" s="8">
        <f t="shared" si="182"/>
        <v>17.03</v>
      </c>
      <c r="AI110" s="8">
        <f t="shared" si="173"/>
        <v>17.03</v>
      </c>
      <c r="AJ110" s="4">
        <f t="shared" si="155"/>
        <v>23.160800000000002</v>
      </c>
      <c r="AK110" s="1">
        <f t="shared" si="156"/>
        <v>17.03</v>
      </c>
      <c r="AL110" s="1">
        <f t="shared" si="157"/>
        <v>17.03</v>
      </c>
      <c r="AM110" s="2">
        <f t="shared" si="158"/>
        <v>17.03</v>
      </c>
      <c r="AN110" s="2">
        <f t="shared" si="159"/>
        <v>17.03</v>
      </c>
      <c r="AO110" s="3">
        <f t="shared" si="160"/>
        <v>15.14</v>
      </c>
      <c r="AP110" s="3">
        <f t="shared" si="183"/>
        <v>17.03</v>
      </c>
      <c r="AQ110" s="7">
        <f t="shared" si="161"/>
        <v>25.545</v>
      </c>
      <c r="AR110" s="1">
        <f t="shared" si="174"/>
        <v>37.85</v>
      </c>
      <c r="AS110" s="1">
        <f t="shared" si="162"/>
        <v>17.03</v>
      </c>
      <c r="AT110" s="3">
        <f t="shared" si="163"/>
        <v>20.436000000000003</v>
      </c>
      <c r="AU110" s="3">
        <f t="shared" si="186"/>
        <v>16.654000000000003</v>
      </c>
      <c r="AV110" s="1">
        <f t="shared" si="164"/>
        <v>17.03</v>
      </c>
      <c r="AW110" s="4">
        <f t="shared" si="138"/>
        <v>16.1785</v>
      </c>
      <c r="AX110" s="3" t="str">
        <f t="shared" si="165"/>
        <v>14.99 Per Unit</v>
      </c>
      <c r="AY110" s="3">
        <f t="shared" si="166"/>
        <v>17.03</v>
      </c>
      <c r="AZ110" s="1">
        <f t="shared" si="175"/>
        <v>17.03</v>
      </c>
      <c r="BA110" s="3">
        <f t="shared" si="176"/>
        <v>17.03</v>
      </c>
      <c r="BB110" s="3">
        <f t="shared" si="177"/>
        <v>17.03</v>
      </c>
      <c r="BC110" s="3">
        <f t="shared" si="178"/>
        <v>18.733000000000004</v>
      </c>
      <c r="BD110" s="3">
        <f t="shared" si="179"/>
        <v>15.327000000000002</v>
      </c>
      <c r="BE110" s="3">
        <f t="shared" si="167"/>
        <v>43.426500000000004</v>
      </c>
      <c r="BF110" s="1">
        <f t="shared" si="168"/>
        <v>17.03</v>
      </c>
      <c r="BG110" s="8" t="str">
        <f t="shared" si="169"/>
        <v>16.18 Per Unit</v>
      </c>
      <c r="BH110" s="4">
        <f t="shared" si="184"/>
        <v>20.436</v>
      </c>
      <c r="BI110" s="1">
        <f t="shared" si="185"/>
        <v>17.03</v>
      </c>
      <c r="BJ110" s="3">
        <f t="shared" si="170"/>
        <v>16.1785</v>
      </c>
      <c r="BK110" s="1">
        <f t="shared" si="171"/>
        <v>17.03</v>
      </c>
      <c r="BL110" s="4">
        <v>15.327000000000002</v>
      </c>
      <c r="BM110" s="8">
        <f t="shared" si="172"/>
        <v>17.03</v>
      </c>
      <c r="BN110" s="3">
        <f>MIN(N110:BM110:BM110)</f>
        <v>15.14</v>
      </c>
      <c r="BO110" s="3">
        <f t="shared" si="180"/>
        <v>74.732</v>
      </c>
    </row>
    <row r="111" spans="1:67" ht="19.5" customHeight="1">
      <c r="A111" s="10">
        <f t="shared" si="137"/>
        <v>110</v>
      </c>
      <c r="B111" s="6">
        <v>80055</v>
      </c>
      <c r="C111" s="11" t="s">
        <v>379</v>
      </c>
      <c r="D111" s="30" t="s">
        <v>299</v>
      </c>
      <c r="E111" s="11" t="s">
        <v>371</v>
      </c>
      <c r="F111" s="46">
        <v>0</v>
      </c>
      <c r="G111" s="39" t="s">
        <v>379</v>
      </c>
      <c r="H111" s="48">
        <v>0</v>
      </c>
      <c r="I111" s="6">
        <v>0</v>
      </c>
      <c r="J111" s="8">
        <v>0</v>
      </c>
      <c r="K111" s="24" t="s">
        <v>386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  <c r="BC111" s="8">
        <v>0</v>
      </c>
      <c r="BD111" s="8">
        <v>0</v>
      </c>
      <c r="BE111" s="8">
        <v>0</v>
      </c>
      <c r="BF111" s="8">
        <v>0</v>
      </c>
      <c r="BG111" s="8">
        <v>0</v>
      </c>
      <c r="BH111" s="8">
        <v>0</v>
      </c>
      <c r="BI111" s="8">
        <v>0</v>
      </c>
      <c r="BJ111" s="8">
        <v>0</v>
      </c>
      <c r="BK111" s="8">
        <v>0</v>
      </c>
      <c r="BL111" s="8">
        <v>0</v>
      </c>
      <c r="BM111" s="8">
        <v>0</v>
      </c>
      <c r="BN111" s="3">
        <f>MIN(N111:BM111:BM111)</f>
        <v>0</v>
      </c>
      <c r="BO111" s="3">
        <f t="shared" si="180"/>
        <v>0</v>
      </c>
    </row>
    <row r="112" spans="1:67" ht="19.5" customHeight="1">
      <c r="A112" s="10">
        <f t="shared" si="137"/>
        <v>111</v>
      </c>
      <c r="B112" s="6">
        <v>82247</v>
      </c>
      <c r="C112" s="11">
        <v>3018224700</v>
      </c>
      <c r="D112" s="30" t="s">
        <v>406</v>
      </c>
      <c r="E112" s="11" t="s">
        <v>371</v>
      </c>
      <c r="F112" s="46">
        <v>15.06</v>
      </c>
      <c r="G112" s="6">
        <v>301</v>
      </c>
      <c r="H112" s="48">
        <v>0</v>
      </c>
      <c r="I112" s="6">
        <v>0</v>
      </c>
      <c r="J112" s="8">
        <f t="shared" si="139"/>
        <v>6.526</v>
      </c>
      <c r="K112" s="24" t="s">
        <v>386</v>
      </c>
      <c r="L112" s="8">
        <v>5.02</v>
      </c>
      <c r="M112" s="8">
        <v>4.09</v>
      </c>
      <c r="N112" s="5">
        <f>6*1.8</f>
        <v>10.8</v>
      </c>
      <c r="O112" s="8">
        <f t="shared" si="140"/>
        <v>5.02</v>
      </c>
      <c r="P112" s="7">
        <f t="shared" si="181"/>
        <v>9.789000000000001</v>
      </c>
      <c r="Q112" s="1">
        <f t="shared" si="141"/>
        <v>5.02</v>
      </c>
      <c r="R112" s="4">
        <f t="shared" si="142"/>
        <v>5.522</v>
      </c>
      <c r="S112" s="1">
        <f t="shared" si="143"/>
        <v>5.02</v>
      </c>
      <c r="T112" s="8">
        <v>7.43</v>
      </c>
      <c r="U112" s="8">
        <v>22.04</v>
      </c>
      <c r="V112" s="3">
        <f t="shared" si="144"/>
        <v>5.02</v>
      </c>
      <c r="W112" s="3">
        <f t="shared" si="145"/>
        <v>5.02</v>
      </c>
      <c r="X112" s="3">
        <f t="shared" si="146"/>
        <v>5.02</v>
      </c>
      <c r="Y112" s="60">
        <v>7.334999999999999</v>
      </c>
      <c r="Z112" s="3">
        <f t="shared" si="147"/>
        <v>4.768999999999999</v>
      </c>
      <c r="AA112" s="3">
        <f t="shared" si="148"/>
        <v>4.768999999999999</v>
      </c>
      <c r="AB112" s="3">
        <f t="shared" si="149"/>
        <v>5.02</v>
      </c>
      <c r="AC112" s="4">
        <f t="shared" si="150"/>
        <v>5.271</v>
      </c>
      <c r="AD112" s="3">
        <f t="shared" si="151"/>
        <v>5.02</v>
      </c>
      <c r="AE112" s="3">
        <f t="shared" si="152"/>
        <v>5.02</v>
      </c>
      <c r="AF112" s="3">
        <f t="shared" si="153"/>
        <v>4.618399999999999</v>
      </c>
      <c r="AG112" s="4">
        <f t="shared" si="154"/>
        <v>10.542</v>
      </c>
      <c r="AH112" s="8">
        <f t="shared" si="182"/>
        <v>5.02</v>
      </c>
      <c r="AI112" s="8">
        <f t="shared" si="173"/>
        <v>5.02</v>
      </c>
      <c r="AJ112" s="4">
        <f t="shared" si="155"/>
        <v>6.8271999999999995</v>
      </c>
      <c r="AK112" s="1">
        <f t="shared" si="156"/>
        <v>5.02</v>
      </c>
      <c r="AL112" s="1">
        <f t="shared" si="157"/>
        <v>5.02</v>
      </c>
      <c r="AM112" s="2">
        <f t="shared" si="158"/>
        <v>5.02</v>
      </c>
      <c r="AN112" s="2">
        <f t="shared" si="159"/>
        <v>5.02</v>
      </c>
      <c r="AO112" s="3">
        <f t="shared" si="160"/>
        <v>4.09</v>
      </c>
      <c r="AP112" s="3">
        <f t="shared" si="183"/>
        <v>5.02</v>
      </c>
      <c r="AQ112" s="7">
        <f t="shared" si="161"/>
        <v>7.53</v>
      </c>
      <c r="AR112" s="1">
        <f t="shared" si="174"/>
        <v>10.225</v>
      </c>
      <c r="AS112" s="1">
        <f t="shared" si="162"/>
        <v>5.02</v>
      </c>
      <c r="AT112" s="3">
        <f t="shared" si="163"/>
        <v>6.024000000000001</v>
      </c>
      <c r="AU112" s="3">
        <f t="shared" si="186"/>
        <v>4.4990000000000006</v>
      </c>
      <c r="AV112" s="1">
        <f t="shared" si="164"/>
        <v>5.02</v>
      </c>
      <c r="AW112" s="4">
        <f t="shared" si="138"/>
        <v>4.768999999999999</v>
      </c>
      <c r="AX112" s="3" t="str">
        <f t="shared" si="165"/>
        <v>4.42 Per Unit</v>
      </c>
      <c r="AY112" s="3">
        <f t="shared" si="166"/>
        <v>5.02</v>
      </c>
      <c r="AZ112" s="1">
        <f t="shared" si="175"/>
        <v>5.02</v>
      </c>
      <c r="BA112" s="3">
        <f t="shared" si="176"/>
        <v>5.02</v>
      </c>
      <c r="BB112" s="3">
        <f t="shared" si="177"/>
        <v>5.02</v>
      </c>
      <c r="BC112" s="3">
        <f t="shared" si="178"/>
        <v>5.522</v>
      </c>
      <c r="BD112" s="3">
        <f t="shared" si="179"/>
        <v>4.518</v>
      </c>
      <c r="BE112" s="3">
        <f t="shared" si="167"/>
        <v>12.801</v>
      </c>
      <c r="BF112" s="1">
        <f t="shared" si="168"/>
        <v>5.02</v>
      </c>
      <c r="BG112" s="8" t="str">
        <f t="shared" si="169"/>
        <v>4.77 Per Unit</v>
      </c>
      <c r="BH112" s="4">
        <f t="shared" si="184"/>
        <v>6.023999999999999</v>
      </c>
      <c r="BI112" s="1">
        <f t="shared" si="185"/>
        <v>5.02</v>
      </c>
      <c r="BJ112" s="3">
        <f t="shared" si="170"/>
        <v>4.768999999999999</v>
      </c>
      <c r="BK112" s="1">
        <f t="shared" si="171"/>
        <v>5.02</v>
      </c>
      <c r="BL112" s="8">
        <v>4.52</v>
      </c>
      <c r="BM112" s="8">
        <f t="shared" si="172"/>
        <v>5.02</v>
      </c>
      <c r="BN112" s="3">
        <f>MIN(N112:BM112:BM112)</f>
        <v>4.09</v>
      </c>
      <c r="BO112" s="3">
        <f t="shared" si="180"/>
        <v>22.04</v>
      </c>
    </row>
    <row r="113" spans="1:67" ht="19.5" customHeight="1">
      <c r="A113" s="10">
        <f t="shared" si="137"/>
        <v>112</v>
      </c>
      <c r="B113" s="6">
        <v>84154</v>
      </c>
      <c r="C113" s="11" t="s">
        <v>379</v>
      </c>
      <c r="D113" s="30" t="s">
        <v>328</v>
      </c>
      <c r="E113" s="11" t="s">
        <v>371</v>
      </c>
      <c r="F113" s="46">
        <v>0</v>
      </c>
      <c r="G113" s="39" t="s">
        <v>379</v>
      </c>
      <c r="H113" s="48">
        <v>0</v>
      </c>
      <c r="I113" s="6">
        <v>0</v>
      </c>
      <c r="J113" s="8">
        <v>0</v>
      </c>
      <c r="K113" s="24" t="s">
        <v>386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v>0</v>
      </c>
      <c r="AN113" s="8">
        <v>0</v>
      </c>
      <c r="AO113" s="8">
        <v>0</v>
      </c>
      <c r="AP113" s="8">
        <v>0</v>
      </c>
      <c r="AQ113" s="8">
        <v>0</v>
      </c>
      <c r="AR113" s="8">
        <v>0</v>
      </c>
      <c r="AS113" s="8">
        <v>0</v>
      </c>
      <c r="AT113" s="8">
        <v>0</v>
      </c>
      <c r="AU113" s="8">
        <v>0</v>
      </c>
      <c r="AV113" s="8">
        <v>0</v>
      </c>
      <c r="AW113" s="8">
        <v>0</v>
      </c>
      <c r="AX113" s="8">
        <v>0</v>
      </c>
      <c r="AY113" s="8">
        <v>0</v>
      </c>
      <c r="AZ113" s="8">
        <v>0</v>
      </c>
      <c r="BA113" s="8">
        <v>0</v>
      </c>
      <c r="BB113" s="8">
        <v>0</v>
      </c>
      <c r="BC113" s="8">
        <v>0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8">
        <v>0</v>
      </c>
      <c r="BM113" s="8">
        <v>0</v>
      </c>
      <c r="BN113" s="3">
        <f>MIN(N113:BM113:BM113)</f>
        <v>0</v>
      </c>
      <c r="BO113" s="3">
        <f t="shared" si="180"/>
        <v>0</v>
      </c>
    </row>
    <row r="114" spans="1:67" ht="19.5" customHeight="1">
      <c r="A114" s="10">
        <f t="shared" si="137"/>
        <v>113</v>
      </c>
      <c r="B114" s="6">
        <v>97112</v>
      </c>
      <c r="C114" s="6">
        <v>4209711200</v>
      </c>
      <c r="D114" s="30" t="s">
        <v>236</v>
      </c>
      <c r="E114" s="6" t="s">
        <v>89</v>
      </c>
      <c r="F114" s="45">
        <v>114.9</v>
      </c>
      <c r="G114" s="6">
        <v>420</v>
      </c>
      <c r="H114" s="48">
        <v>0</v>
      </c>
      <c r="I114" s="6">
        <v>0</v>
      </c>
      <c r="J114" s="8">
        <f>L114*1.3</f>
        <v>50.57</v>
      </c>
      <c r="K114" s="24" t="s">
        <v>113</v>
      </c>
      <c r="L114" s="3">
        <v>38.9</v>
      </c>
      <c r="M114" s="3">
        <v>12.22</v>
      </c>
      <c r="N114" s="8" t="str">
        <f>CONCATENATE(ROUND(22.61*1.8,2)," ",K114)</f>
        <v>40.7 Per 15 minutes</v>
      </c>
      <c r="O114" s="8" t="str">
        <f aca="true" t="shared" si="187" ref="O114:O152">CONCATENATE(ROUND(L114,2)," ",K114)</f>
        <v>38.9 Per 15 minutes</v>
      </c>
      <c r="P114" s="7" t="s">
        <v>123</v>
      </c>
      <c r="Q114" s="3" t="str">
        <f aca="true" t="shared" si="188" ref="Q114:Q152">CONCATENATE(ROUND(L114,2)," ",K114)</f>
        <v>38.9 Per 15 minutes</v>
      </c>
      <c r="R114" s="3" t="str">
        <f aca="true" t="shared" si="189" ref="R114:R152">CONCATENATE(ROUND(L114*1.1,2)," ",K114)</f>
        <v>42.79 Per 15 minutes</v>
      </c>
      <c r="S114" s="3" t="str">
        <f aca="true" t="shared" si="190" ref="S114:S152">CONCATENATE(ROUND(L114,2)," ",K114)</f>
        <v>38.9 Per 15 minutes</v>
      </c>
      <c r="T114" s="4" t="s">
        <v>388</v>
      </c>
      <c r="U114" s="4" t="s">
        <v>389</v>
      </c>
      <c r="V114" s="3" t="str">
        <f aca="true" t="shared" si="191" ref="V114:V152">CONCATENATE(ROUND(L114,2)," ",K114)</f>
        <v>38.9 Per 15 minutes</v>
      </c>
      <c r="W114" s="3" t="str">
        <f aca="true" t="shared" si="192" ref="W114:W152">CONCATENATE(ROUND(L114,2)," ",K114)</f>
        <v>38.9 Per 15 minutes</v>
      </c>
      <c r="X114" s="3" t="str">
        <f aca="true" t="shared" si="193" ref="X114:X152">CONCATENATE(ROUND(L114,2)," ",K114)</f>
        <v>38.9 Per 15 minutes</v>
      </c>
      <c r="Y114" s="4" t="s">
        <v>392</v>
      </c>
      <c r="Z114" s="3" t="str">
        <f aca="true" t="shared" si="194" ref="Z114:Z152">CONCATENATE(ROUND(L114*0.95,2)," ",K114)</f>
        <v>36.96 Per 15 minutes</v>
      </c>
      <c r="AA114" s="3" t="str">
        <f aca="true" t="shared" si="195" ref="AA114:AA152">CONCATENATE(ROUND(L114*0.95,2)," ",K114)</f>
        <v>36.96 Per 15 minutes</v>
      </c>
      <c r="AB114" s="3" t="str">
        <f aca="true" t="shared" si="196" ref="AB114:AB152">CONCATENATE(ROUND(L114,2)," ",K114)</f>
        <v>38.9 Per 15 minutes</v>
      </c>
      <c r="AC114" s="3" t="str">
        <f aca="true" t="shared" si="197" ref="AC114:AC152">CONCATENATE(ROUND(L114*1.05,2)," ",K114)</f>
        <v>40.85 Per 15 minutes</v>
      </c>
      <c r="AD114" s="3" t="str">
        <f aca="true" t="shared" si="198" ref="AD114:AD152">CONCATENATE(ROUND(L114,2)," ",K114)</f>
        <v>38.9 Per 15 minutes</v>
      </c>
      <c r="AE114" s="3" t="str">
        <f aca="true" t="shared" si="199" ref="AE114:AE152">CONCATENATE(ROUND(L114,2)," ",K114)</f>
        <v>38.9 Per 15 minutes</v>
      </c>
      <c r="AF114" s="3" t="str">
        <f aca="true" t="shared" si="200" ref="AF114:AF152">CONCATENATE(ROUND(L114*0.92,2)," ",K114)</f>
        <v>35.79 Per 15 minutes</v>
      </c>
      <c r="AG114" s="3">
        <f>F114*0.7</f>
        <v>80.42999999999999</v>
      </c>
      <c r="AH114" s="4" t="s">
        <v>111</v>
      </c>
      <c r="AI114" s="4" t="s">
        <v>111</v>
      </c>
      <c r="AJ114" s="4" t="s">
        <v>363</v>
      </c>
      <c r="AK114" s="3" t="str">
        <f aca="true" t="shared" si="201" ref="AK114:AK152">CONCATENATE(ROUND(L114,2)," ",K114)</f>
        <v>38.9 Per 15 minutes</v>
      </c>
      <c r="AL114" s="3" t="str">
        <f aca="true" t="shared" si="202" ref="AL114:AL152">CONCATENATE(ROUND(L114,2)," ",K114)</f>
        <v>38.9 Per 15 minutes</v>
      </c>
      <c r="AM114" s="4" t="s">
        <v>124</v>
      </c>
      <c r="AN114" s="4" t="s">
        <v>124</v>
      </c>
      <c r="AO114" s="4" t="s">
        <v>118</v>
      </c>
      <c r="AP114" s="4" t="s">
        <v>119</v>
      </c>
      <c r="AQ114" s="7" t="s">
        <v>83</v>
      </c>
      <c r="AR114" s="2" t="s">
        <v>282</v>
      </c>
      <c r="AS114" s="2" t="s">
        <v>282</v>
      </c>
      <c r="AT114" s="4" t="s">
        <v>126</v>
      </c>
      <c r="AU114" s="3" t="str">
        <f aca="true" t="shared" si="203" ref="AU114:AU120">CONCATENATE(ROUND(M114*1.1,2)," ",K114)</f>
        <v>13.44 Per 15 minutes</v>
      </c>
      <c r="AV114" s="3" t="str">
        <f aca="true" t="shared" si="204" ref="AV114:AV152">CONCATENATE(ROUND(L114,2)," ",K114)</f>
        <v>38.9 Per 15 minutes</v>
      </c>
      <c r="AW114" s="3" t="str">
        <f aca="true" t="shared" si="205" ref="AW114:AW152">CONCATENATE(ROUND(L114*0.95,2)," ",K114)</f>
        <v>36.96 Per 15 minutes</v>
      </c>
      <c r="AX114" s="3" t="str">
        <f aca="true" t="shared" si="206" ref="AX114:AX145">CONCATENATE(ROUND(L114*0.88,2)," ",K114)</f>
        <v>34.23 Per 15 minutes</v>
      </c>
      <c r="AY114" s="3" t="s">
        <v>125</v>
      </c>
      <c r="AZ114" s="4" t="s">
        <v>400</v>
      </c>
      <c r="BA114" s="4" t="s">
        <v>126</v>
      </c>
      <c r="BB114" s="8">
        <v>0</v>
      </c>
      <c r="BC114" s="8">
        <v>0</v>
      </c>
      <c r="BD114" s="8">
        <v>0</v>
      </c>
      <c r="BE114" s="4" t="s">
        <v>112</v>
      </c>
      <c r="BF114" s="3" t="str">
        <f aca="true" t="shared" si="207" ref="BF114:BF152">CONCATENATE(ROUND(L114,2)," ",K114)</f>
        <v>38.9 Per 15 minutes</v>
      </c>
      <c r="BG114" s="8" t="str">
        <f aca="true" t="shared" si="208" ref="BG114:BG152">CONCATENATE(ROUND(L114*0.95,2)," ",K114)</f>
        <v>36.96 Per 15 minutes</v>
      </c>
      <c r="BH114" s="4" t="s">
        <v>83</v>
      </c>
      <c r="BI114" s="4" t="s">
        <v>83</v>
      </c>
      <c r="BJ114" s="3" t="str">
        <f aca="true" t="shared" si="209" ref="BJ114:BJ152">CONCATENATE(ROUND(L114*0.95,2)," ",K114)</f>
        <v>36.96 Per 15 minutes</v>
      </c>
      <c r="BK114" s="3" t="str">
        <f aca="true" t="shared" si="210" ref="BK114:BK152">CONCATENATE(ROUND(L114,2)," ",K114)</f>
        <v>38.9 Per 15 minutes</v>
      </c>
      <c r="BL114" s="4" t="s">
        <v>391</v>
      </c>
      <c r="BM114" s="7" t="s">
        <v>126</v>
      </c>
      <c r="BN114" s="3" t="str">
        <f aca="true" t="shared" si="211" ref="BN114:BN120">AU114</f>
        <v>13.44 Per 15 minutes</v>
      </c>
      <c r="BO114" s="3" t="s">
        <v>416</v>
      </c>
    </row>
    <row r="115" spans="1:67" ht="19.5" customHeight="1">
      <c r="A115" s="10">
        <f t="shared" si="137"/>
        <v>114</v>
      </c>
      <c r="B115" s="6">
        <v>97140</v>
      </c>
      <c r="C115" s="6">
        <v>4209714000</v>
      </c>
      <c r="D115" s="30" t="s">
        <v>237</v>
      </c>
      <c r="E115" s="6" t="s">
        <v>89</v>
      </c>
      <c r="F115" s="45">
        <v>90.99</v>
      </c>
      <c r="G115" s="6">
        <v>420</v>
      </c>
      <c r="H115" s="48">
        <v>0</v>
      </c>
      <c r="I115" s="6">
        <v>0</v>
      </c>
      <c r="J115" s="8">
        <f>L115*1.3</f>
        <v>39.78</v>
      </c>
      <c r="K115" s="24" t="s">
        <v>113</v>
      </c>
      <c r="L115" s="3">
        <v>30.6</v>
      </c>
      <c r="M115" s="3">
        <v>22.21</v>
      </c>
      <c r="N115" s="8" t="str">
        <f>CONCATENATE(ROUND(20.26*1.8,2)," ",K115)</f>
        <v>36.47 Per 15 minutes</v>
      </c>
      <c r="O115" s="8" t="str">
        <f t="shared" si="187"/>
        <v>30.6 Per 15 minutes</v>
      </c>
      <c r="P115" s="7" t="s">
        <v>123</v>
      </c>
      <c r="Q115" s="3" t="str">
        <f t="shared" si="188"/>
        <v>30.6 Per 15 minutes</v>
      </c>
      <c r="R115" s="3" t="str">
        <f t="shared" si="189"/>
        <v>33.66 Per 15 minutes</v>
      </c>
      <c r="S115" s="3" t="str">
        <f t="shared" si="190"/>
        <v>30.6 Per 15 minutes</v>
      </c>
      <c r="T115" s="4" t="s">
        <v>388</v>
      </c>
      <c r="U115" s="4" t="s">
        <v>389</v>
      </c>
      <c r="V115" s="3" t="str">
        <f t="shared" si="191"/>
        <v>30.6 Per 15 minutes</v>
      </c>
      <c r="W115" s="3" t="str">
        <f t="shared" si="192"/>
        <v>30.6 Per 15 minutes</v>
      </c>
      <c r="X115" s="3" t="str">
        <f t="shared" si="193"/>
        <v>30.6 Per 15 minutes</v>
      </c>
      <c r="Y115" s="4" t="s">
        <v>392</v>
      </c>
      <c r="Z115" s="3" t="str">
        <f t="shared" si="194"/>
        <v>29.07 Per 15 minutes</v>
      </c>
      <c r="AA115" s="3" t="str">
        <f t="shared" si="195"/>
        <v>29.07 Per 15 minutes</v>
      </c>
      <c r="AB115" s="3" t="str">
        <f t="shared" si="196"/>
        <v>30.6 Per 15 minutes</v>
      </c>
      <c r="AC115" s="3" t="str">
        <f t="shared" si="197"/>
        <v>32.13 Per 15 minutes</v>
      </c>
      <c r="AD115" s="3" t="str">
        <f t="shared" si="198"/>
        <v>30.6 Per 15 minutes</v>
      </c>
      <c r="AE115" s="3" t="str">
        <f t="shared" si="199"/>
        <v>30.6 Per 15 minutes</v>
      </c>
      <c r="AF115" s="3" t="str">
        <f t="shared" si="200"/>
        <v>28.15 Per 15 minutes</v>
      </c>
      <c r="AG115" s="3">
        <f>F115*0.7</f>
        <v>63.69299999999999</v>
      </c>
      <c r="AH115" s="4" t="s">
        <v>111</v>
      </c>
      <c r="AI115" s="4" t="s">
        <v>111</v>
      </c>
      <c r="AJ115" s="4" t="s">
        <v>363</v>
      </c>
      <c r="AK115" s="3" t="str">
        <f t="shared" si="201"/>
        <v>30.6 Per 15 minutes</v>
      </c>
      <c r="AL115" s="3" t="str">
        <f t="shared" si="202"/>
        <v>30.6 Per 15 minutes</v>
      </c>
      <c r="AM115" s="4" t="s">
        <v>124</v>
      </c>
      <c r="AN115" s="4" t="s">
        <v>124</v>
      </c>
      <c r="AO115" s="4" t="s">
        <v>118</v>
      </c>
      <c r="AP115" s="4" t="s">
        <v>119</v>
      </c>
      <c r="AQ115" s="7" t="s">
        <v>83</v>
      </c>
      <c r="AR115" s="2" t="s">
        <v>282</v>
      </c>
      <c r="AS115" s="2" t="s">
        <v>282</v>
      </c>
      <c r="AT115" s="4" t="s">
        <v>126</v>
      </c>
      <c r="AU115" s="3" t="str">
        <f t="shared" si="203"/>
        <v>24.43 Per 15 minutes</v>
      </c>
      <c r="AV115" s="3" t="str">
        <f t="shared" si="204"/>
        <v>30.6 Per 15 minutes</v>
      </c>
      <c r="AW115" s="3" t="str">
        <f t="shared" si="205"/>
        <v>29.07 Per 15 minutes</v>
      </c>
      <c r="AX115" s="3" t="str">
        <f t="shared" si="206"/>
        <v>26.93 Per 15 minutes</v>
      </c>
      <c r="AY115" s="3" t="s">
        <v>125</v>
      </c>
      <c r="AZ115" s="4" t="s">
        <v>400</v>
      </c>
      <c r="BA115" s="4" t="s">
        <v>126</v>
      </c>
      <c r="BB115" s="8">
        <v>0</v>
      </c>
      <c r="BC115" s="8">
        <v>0</v>
      </c>
      <c r="BD115" s="8">
        <v>0</v>
      </c>
      <c r="BE115" s="4" t="s">
        <v>112</v>
      </c>
      <c r="BF115" s="3" t="str">
        <f t="shared" si="207"/>
        <v>30.6 Per 15 minutes</v>
      </c>
      <c r="BG115" s="8" t="str">
        <f t="shared" si="208"/>
        <v>29.07 Per 15 minutes</v>
      </c>
      <c r="BH115" s="4" t="s">
        <v>83</v>
      </c>
      <c r="BI115" s="4" t="s">
        <v>83</v>
      </c>
      <c r="BJ115" s="3" t="str">
        <f t="shared" si="209"/>
        <v>29.07 Per 15 minutes</v>
      </c>
      <c r="BK115" s="3" t="str">
        <f t="shared" si="210"/>
        <v>30.6 Per 15 minutes</v>
      </c>
      <c r="BL115" s="4" t="s">
        <v>391</v>
      </c>
      <c r="BM115" s="7" t="s">
        <v>126</v>
      </c>
      <c r="BN115" s="3" t="str">
        <f t="shared" si="211"/>
        <v>24.43 Per 15 minutes</v>
      </c>
      <c r="BO115" s="3" t="s">
        <v>416</v>
      </c>
    </row>
    <row r="116" spans="1:67" ht="19.5" customHeight="1">
      <c r="A116" s="10">
        <f t="shared" si="137"/>
        <v>115</v>
      </c>
      <c r="B116" s="6">
        <v>97530</v>
      </c>
      <c r="C116" s="6">
        <v>4209753000</v>
      </c>
      <c r="D116" s="30" t="s">
        <v>238</v>
      </c>
      <c r="E116" s="6" t="s">
        <v>89</v>
      </c>
      <c r="F116" s="45">
        <v>126.99</v>
      </c>
      <c r="G116" s="6">
        <v>420</v>
      </c>
      <c r="H116" s="48">
        <v>0</v>
      </c>
      <c r="I116" s="6">
        <v>0</v>
      </c>
      <c r="J116" s="8">
        <v>120</v>
      </c>
      <c r="K116" s="24" t="s">
        <v>113</v>
      </c>
      <c r="L116" s="3">
        <v>44.09</v>
      </c>
      <c r="M116" s="3">
        <v>11.14</v>
      </c>
      <c r="N116" s="8" t="str">
        <f>CONCATENATE(ROUND(23.73*1.8,2)," ",K116)</f>
        <v>42.71 Per 15 minutes</v>
      </c>
      <c r="O116" s="8" t="str">
        <f t="shared" si="187"/>
        <v>44.09 Per 15 minutes</v>
      </c>
      <c r="P116" s="7" t="s">
        <v>123</v>
      </c>
      <c r="Q116" s="3" t="str">
        <f t="shared" si="188"/>
        <v>44.09 Per 15 minutes</v>
      </c>
      <c r="R116" s="3" t="str">
        <f t="shared" si="189"/>
        <v>48.5 Per 15 minutes</v>
      </c>
      <c r="S116" s="3" t="str">
        <f t="shared" si="190"/>
        <v>44.09 Per 15 minutes</v>
      </c>
      <c r="T116" s="4" t="s">
        <v>388</v>
      </c>
      <c r="U116" s="4" t="s">
        <v>389</v>
      </c>
      <c r="V116" s="3" t="str">
        <f t="shared" si="191"/>
        <v>44.09 Per 15 minutes</v>
      </c>
      <c r="W116" s="3" t="str">
        <f t="shared" si="192"/>
        <v>44.09 Per 15 minutes</v>
      </c>
      <c r="X116" s="3" t="str">
        <f t="shared" si="193"/>
        <v>44.09 Per 15 minutes</v>
      </c>
      <c r="Y116" s="4" t="s">
        <v>392</v>
      </c>
      <c r="Z116" s="3" t="str">
        <f t="shared" si="194"/>
        <v>41.89 Per 15 minutes</v>
      </c>
      <c r="AA116" s="3" t="str">
        <f t="shared" si="195"/>
        <v>41.89 Per 15 minutes</v>
      </c>
      <c r="AB116" s="3" t="str">
        <f t="shared" si="196"/>
        <v>44.09 Per 15 minutes</v>
      </c>
      <c r="AC116" s="3" t="str">
        <f t="shared" si="197"/>
        <v>46.29 Per 15 minutes</v>
      </c>
      <c r="AD116" s="3" t="str">
        <f t="shared" si="198"/>
        <v>44.09 Per 15 minutes</v>
      </c>
      <c r="AE116" s="3" t="str">
        <f t="shared" si="199"/>
        <v>44.09 Per 15 minutes</v>
      </c>
      <c r="AF116" s="3" t="str">
        <f t="shared" si="200"/>
        <v>40.56 Per 15 minutes</v>
      </c>
      <c r="AG116" s="3">
        <f aca="true" t="shared" si="212" ref="AG116:AG125">F116*0.7</f>
        <v>88.89299999999999</v>
      </c>
      <c r="AH116" s="4" t="s">
        <v>111</v>
      </c>
      <c r="AI116" s="4" t="s">
        <v>111</v>
      </c>
      <c r="AJ116" s="4" t="s">
        <v>363</v>
      </c>
      <c r="AK116" s="3" t="str">
        <f t="shared" si="201"/>
        <v>44.09 Per 15 minutes</v>
      </c>
      <c r="AL116" s="3" t="str">
        <f t="shared" si="202"/>
        <v>44.09 Per 15 minutes</v>
      </c>
      <c r="AM116" s="4" t="s">
        <v>124</v>
      </c>
      <c r="AN116" s="4" t="s">
        <v>124</v>
      </c>
      <c r="AO116" s="4" t="s">
        <v>118</v>
      </c>
      <c r="AP116" s="4" t="s">
        <v>119</v>
      </c>
      <c r="AQ116" s="7" t="s">
        <v>83</v>
      </c>
      <c r="AR116" s="4" t="s">
        <v>117</v>
      </c>
      <c r="AS116" s="4" t="s">
        <v>111</v>
      </c>
      <c r="AT116" s="4" t="s">
        <v>126</v>
      </c>
      <c r="AU116" s="3" t="str">
        <f t="shared" si="203"/>
        <v>12.25 Per 15 minutes</v>
      </c>
      <c r="AV116" s="3" t="str">
        <f t="shared" si="204"/>
        <v>44.09 Per 15 minutes</v>
      </c>
      <c r="AW116" s="3" t="str">
        <f t="shared" si="205"/>
        <v>41.89 Per 15 minutes</v>
      </c>
      <c r="AX116" s="3" t="str">
        <f t="shared" si="206"/>
        <v>38.8 Per 15 minutes</v>
      </c>
      <c r="AY116" s="3" t="s">
        <v>125</v>
      </c>
      <c r="AZ116" s="4" t="s">
        <v>400</v>
      </c>
      <c r="BA116" s="4" t="s">
        <v>126</v>
      </c>
      <c r="BB116" s="8">
        <v>0</v>
      </c>
      <c r="BC116" s="8">
        <v>0</v>
      </c>
      <c r="BD116" s="8">
        <v>0</v>
      </c>
      <c r="BE116" s="4" t="s">
        <v>112</v>
      </c>
      <c r="BF116" s="3" t="str">
        <f t="shared" si="207"/>
        <v>44.09 Per 15 minutes</v>
      </c>
      <c r="BG116" s="8" t="str">
        <f t="shared" si="208"/>
        <v>41.89 Per 15 minutes</v>
      </c>
      <c r="BH116" s="4" t="s">
        <v>83</v>
      </c>
      <c r="BI116" s="4" t="s">
        <v>83</v>
      </c>
      <c r="BJ116" s="3" t="str">
        <f t="shared" si="209"/>
        <v>41.89 Per 15 minutes</v>
      </c>
      <c r="BK116" s="3" t="str">
        <f t="shared" si="210"/>
        <v>44.09 Per 15 minutes</v>
      </c>
      <c r="BL116" s="4" t="s">
        <v>391</v>
      </c>
      <c r="BM116" s="7" t="s">
        <v>126</v>
      </c>
      <c r="BN116" s="3" t="str">
        <f t="shared" si="211"/>
        <v>12.25 Per 15 minutes</v>
      </c>
      <c r="BO116" s="3" t="s">
        <v>416</v>
      </c>
    </row>
    <row r="117" spans="1:67" ht="19.5" customHeight="1">
      <c r="A117" s="10">
        <f t="shared" si="137"/>
        <v>116</v>
      </c>
      <c r="B117" s="13">
        <v>97113</v>
      </c>
      <c r="C117" s="6">
        <v>4209711300</v>
      </c>
      <c r="D117" s="30" t="s">
        <v>281</v>
      </c>
      <c r="E117" s="6" t="s">
        <v>89</v>
      </c>
      <c r="F117" s="45">
        <v>125.22</v>
      </c>
      <c r="G117" s="6">
        <v>420</v>
      </c>
      <c r="H117" s="48">
        <v>0</v>
      </c>
      <c r="I117" s="6">
        <v>0</v>
      </c>
      <c r="J117" s="8">
        <f>L117*1.3</f>
        <v>55.484</v>
      </c>
      <c r="K117" s="24" t="s">
        <v>113</v>
      </c>
      <c r="L117" s="3">
        <v>42.68</v>
      </c>
      <c r="M117" s="3">
        <v>13.93</v>
      </c>
      <c r="N117" s="8" t="str">
        <f>CONCATENATE(ROUND(28.85*1.8,2)," ",K117)</f>
        <v>51.93 Per 15 minutes</v>
      </c>
      <c r="O117" s="8" t="str">
        <f t="shared" si="187"/>
        <v>42.68 Per 15 minutes</v>
      </c>
      <c r="P117" s="7" t="s">
        <v>123</v>
      </c>
      <c r="Q117" s="3" t="str">
        <f t="shared" si="188"/>
        <v>42.68 Per 15 minutes</v>
      </c>
      <c r="R117" s="3" t="str">
        <f t="shared" si="189"/>
        <v>46.95 Per 15 minutes</v>
      </c>
      <c r="S117" s="3" t="str">
        <f t="shared" si="190"/>
        <v>42.68 Per 15 minutes</v>
      </c>
      <c r="T117" s="4" t="s">
        <v>388</v>
      </c>
      <c r="U117" s="4" t="s">
        <v>389</v>
      </c>
      <c r="V117" s="3" t="str">
        <f t="shared" si="191"/>
        <v>42.68 Per 15 minutes</v>
      </c>
      <c r="W117" s="3" t="str">
        <f t="shared" si="192"/>
        <v>42.68 Per 15 minutes</v>
      </c>
      <c r="X117" s="3" t="str">
        <f t="shared" si="193"/>
        <v>42.68 Per 15 minutes</v>
      </c>
      <c r="Y117" s="4" t="s">
        <v>392</v>
      </c>
      <c r="Z117" s="3" t="str">
        <f t="shared" si="194"/>
        <v>40.55 Per 15 minutes</v>
      </c>
      <c r="AA117" s="3" t="str">
        <f t="shared" si="195"/>
        <v>40.55 Per 15 minutes</v>
      </c>
      <c r="AB117" s="3" t="str">
        <f t="shared" si="196"/>
        <v>42.68 Per 15 minutes</v>
      </c>
      <c r="AC117" s="3" t="str">
        <f t="shared" si="197"/>
        <v>44.81 Per 15 minutes</v>
      </c>
      <c r="AD117" s="3" t="str">
        <f t="shared" si="198"/>
        <v>42.68 Per 15 minutes</v>
      </c>
      <c r="AE117" s="3" t="str">
        <f t="shared" si="199"/>
        <v>42.68 Per 15 minutes</v>
      </c>
      <c r="AF117" s="3" t="str">
        <f t="shared" si="200"/>
        <v>39.27 Per 15 minutes</v>
      </c>
      <c r="AG117" s="3">
        <f t="shared" si="212"/>
        <v>87.654</v>
      </c>
      <c r="AH117" s="4" t="s">
        <v>111</v>
      </c>
      <c r="AI117" s="4" t="s">
        <v>111</v>
      </c>
      <c r="AJ117" s="4" t="s">
        <v>363</v>
      </c>
      <c r="AK117" s="3" t="str">
        <f t="shared" si="201"/>
        <v>42.68 Per 15 minutes</v>
      </c>
      <c r="AL117" s="3" t="str">
        <f t="shared" si="202"/>
        <v>42.68 Per 15 minutes</v>
      </c>
      <c r="AM117" s="4" t="s">
        <v>124</v>
      </c>
      <c r="AN117" s="4" t="s">
        <v>124</v>
      </c>
      <c r="AO117" s="4" t="s">
        <v>118</v>
      </c>
      <c r="AP117" s="4" t="s">
        <v>119</v>
      </c>
      <c r="AQ117" s="7" t="s">
        <v>83</v>
      </c>
      <c r="AR117" s="2" t="s">
        <v>282</v>
      </c>
      <c r="AS117" s="2" t="s">
        <v>282</v>
      </c>
      <c r="AT117" s="4" t="s">
        <v>126</v>
      </c>
      <c r="AU117" s="3" t="str">
        <f t="shared" si="203"/>
        <v>15.32 Per 15 minutes</v>
      </c>
      <c r="AV117" s="3" t="str">
        <f t="shared" si="204"/>
        <v>42.68 Per 15 minutes</v>
      </c>
      <c r="AW117" s="3" t="str">
        <f t="shared" si="205"/>
        <v>40.55 Per 15 minutes</v>
      </c>
      <c r="AX117" s="3" t="str">
        <f t="shared" si="206"/>
        <v>37.56 Per 15 minutes</v>
      </c>
      <c r="AY117" s="3" t="s">
        <v>125</v>
      </c>
      <c r="AZ117" s="4" t="s">
        <v>400</v>
      </c>
      <c r="BA117" s="4" t="s">
        <v>126</v>
      </c>
      <c r="BB117" s="8">
        <v>0</v>
      </c>
      <c r="BC117" s="8">
        <v>0</v>
      </c>
      <c r="BD117" s="8">
        <v>0</v>
      </c>
      <c r="BE117" s="4" t="s">
        <v>112</v>
      </c>
      <c r="BF117" s="3" t="str">
        <f t="shared" si="207"/>
        <v>42.68 Per 15 minutes</v>
      </c>
      <c r="BG117" s="8" t="str">
        <f t="shared" si="208"/>
        <v>40.55 Per 15 minutes</v>
      </c>
      <c r="BH117" s="4" t="s">
        <v>83</v>
      </c>
      <c r="BI117" s="4" t="s">
        <v>83</v>
      </c>
      <c r="BJ117" s="3" t="str">
        <f t="shared" si="209"/>
        <v>40.55 Per 15 minutes</v>
      </c>
      <c r="BK117" s="3" t="str">
        <f t="shared" si="210"/>
        <v>42.68 Per 15 minutes</v>
      </c>
      <c r="BL117" s="4" t="s">
        <v>391</v>
      </c>
      <c r="BM117" s="7" t="s">
        <v>126</v>
      </c>
      <c r="BN117" s="3" t="str">
        <f t="shared" si="211"/>
        <v>15.32 Per 15 minutes</v>
      </c>
      <c r="BO117" s="3" t="s">
        <v>416</v>
      </c>
    </row>
    <row r="118" spans="1:67" ht="19.5" customHeight="1">
      <c r="A118" s="10">
        <f t="shared" si="137"/>
        <v>117</v>
      </c>
      <c r="B118" s="13">
        <v>92507</v>
      </c>
      <c r="C118" s="6">
        <v>4409250700</v>
      </c>
      <c r="D118" s="33" t="s">
        <v>100</v>
      </c>
      <c r="E118" s="6" t="s">
        <v>89</v>
      </c>
      <c r="F118" s="45">
        <v>254.28</v>
      </c>
      <c r="G118" s="40">
        <v>440</v>
      </c>
      <c r="H118" s="48">
        <v>0</v>
      </c>
      <c r="I118" s="6">
        <v>0</v>
      </c>
      <c r="J118" s="8">
        <v>120</v>
      </c>
      <c r="K118" s="24" t="s">
        <v>115</v>
      </c>
      <c r="L118" s="3">
        <v>85.35</v>
      </c>
      <c r="M118" s="3">
        <v>29.72</v>
      </c>
      <c r="N118" s="8" t="str">
        <f>CONCATENATE(ROUND(75.64*1.8,2)," ",K118)</f>
        <v>136.15 Per Visit </v>
      </c>
      <c r="O118" s="8" t="str">
        <f t="shared" si="187"/>
        <v>85.35 Per Visit </v>
      </c>
      <c r="P118" s="7" t="s">
        <v>123</v>
      </c>
      <c r="Q118" s="3" t="str">
        <f t="shared" si="188"/>
        <v>85.35 Per Visit </v>
      </c>
      <c r="R118" s="3" t="str">
        <f t="shared" si="189"/>
        <v>93.89 Per Visit </v>
      </c>
      <c r="S118" s="3" t="str">
        <f t="shared" si="190"/>
        <v>85.35 Per Visit </v>
      </c>
      <c r="T118" s="4" t="s">
        <v>388</v>
      </c>
      <c r="U118" s="4" t="s">
        <v>389</v>
      </c>
      <c r="V118" s="3" t="str">
        <f t="shared" si="191"/>
        <v>85.35 Per Visit </v>
      </c>
      <c r="W118" s="3" t="str">
        <f t="shared" si="192"/>
        <v>85.35 Per Visit </v>
      </c>
      <c r="X118" s="3" t="str">
        <f t="shared" si="193"/>
        <v>85.35 Per Visit </v>
      </c>
      <c r="Y118" s="4" t="s">
        <v>392</v>
      </c>
      <c r="Z118" s="3" t="str">
        <f t="shared" si="194"/>
        <v>81.08 Per Visit </v>
      </c>
      <c r="AA118" s="3" t="str">
        <f t="shared" si="195"/>
        <v>81.08 Per Visit </v>
      </c>
      <c r="AB118" s="3" t="str">
        <f t="shared" si="196"/>
        <v>85.35 Per Visit </v>
      </c>
      <c r="AC118" s="3" t="str">
        <f t="shared" si="197"/>
        <v>89.62 Per Visit </v>
      </c>
      <c r="AD118" s="3" t="str">
        <f t="shared" si="198"/>
        <v>85.35 Per Visit </v>
      </c>
      <c r="AE118" s="3" t="str">
        <f t="shared" si="199"/>
        <v>85.35 Per Visit </v>
      </c>
      <c r="AF118" s="3" t="str">
        <f t="shared" si="200"/>
        <v>78.52 Per Visit </v>
      </c>
      <c r="AG118" s="3">
        <f t="shared" si="212"/>
        <v>177.99599999999998</v>
      </c>
      <c r="AH118" s="4" t="s">
        <v>111</v>
      </c>
      <c r="AI118" s="4" t="s">
        <v>111</v>
      </c>
      <c r="AJ118" s="4" t="s">
        <v>363</v>
      </c>
      <c r="AK118" s="3" t="str">
        <f t="shared" si="201"/>
        <v>85.35 Per Visit </v>
      </c>
      <c r="AL118" s="3" t="str">
        <f t="shared" si="202"/>
        <v>85.35 Per Visit </v>
      </c>
      <c r="AM118" s="4" t="s">
        <v>124</v>
      </c>
      <c r="AN118" s="4" t="s">
        <v>124</v>
      </c>
      <c r="AO118" s="4" t="s">
        <v>118</v>
      </c>
      <c r="AP118" s="4" t="s">
        <v>119</v>
      </c>
      <c r="AQ118" s="7" t="s">
        <v>83</v>
      </c>
      <c r="AR118" s="4" t="s">
        <v>117</v>
      </c>
      <c r="AS118" s="4" t="s">
        <v>111</v>
      </c>
      <c r="AT118" s="4" t="s">
        <v>126</v>
      </c>
      <c r="AU118" s="3" t="str">
        <f t="shared" si="203"/>
        <v>32.69 Per Visit </v>
      </c>
      <c r="AV118" s="3" t="str">
        <f t="shared" si="204"/>
        <v>85.35 Per Visit </v>
      </c>
      <c r="AW118" s="3" t="str">
        <f t="shared" si="205"/>
        <v>81.08 Per Visit </v>
      </c>
      <c r="AX118" s="3" t="str">
        <f t="shared" si="206"/>
        <v>75.11 Per Visit </v>
      </c>
      <c r="AY118" s="3" t="s">
        <v>125</v>
      </c>
      <c r="AZ118" s="4" t="s">
        <v>400</v>
      </c>
      <c r="BA118" s="4" t="s">
        <v>126</v>
      </c>
      <c r="BB118" s="8">
        <v>0</v>
      </c>
      <c r="BC118" s="8">
        <v>0</v>
      </c>
      <c r="BD118" s="8">
        <v>0</v>
      </c>
      <c r="BE118" s="4" t="s">
        <v>112</v>
      </c>
      <c r="BF118" s="3" t="str">
        <f t="shared" si="207"/>
        <v>85.35 Per Visit </v>
      </c>
      <c r="BG118" s="8" t="str">
        <f t="shared" si="208"/>
        <v>81.08 Per Visit </v>
      </c>
      <c r="BH118" s="4" t="s">
        <v>83</v>
      </c>
      <c r="BI118" s="4" t="s">
        <v>83</v>
      </c>
      <c r="BJ118" s="3" t="str">
        <f t="shared" si="209"/>
        <v>81.08 Per Visit </v>
      </c>
      <c r="BK118" s="3" t="str">
        <f t="shared" si="210"/>
        <v>85.35 Per Visit </v>
      </c>
      <c r="BL118" s="4" t="s">
        <v>391</v>
      </c>
      <c r="BM118" s="7" t="s">
        <v>126</v>
      </c>
      <c r="BN118" s="3" t="str">
        <f t="shared" si="211"/>
        <v>32.69 Per Visit </v>
      </c>
      <c r="BO118" s="3" t="s">
        <v>416</v>
      </c>
    </row>
    <row r="119" spans="1:67" ht="19.5" customHeight="1">
      <c r="A119" s="10">
        <f t="shared" si="137"/>
        <v>118</v>
      </c>
      <c r="B119" s="13">
        <v>97116</v>
      </c>
      <c r="C119" s="13">
        <v>4209711600</v>
      </c>
      <c r="D119" s="30" t="s">
        <v>239</v>
      </c>
      <c r="E119" s="6" t="s">
        <v>89</v>
      </c>
      <c r="F119" s="45">
        <v>99.15</v>
      </c>
      <c r="G119" s="6">
        <v>420</v>
      </c>
      <c r="H119" s="48">
        <v>0</v>
      </c>
      <c r="I119" s="6">
        <v>0</v>
      </c>
      <c r="J119" s="8">
        <f>L119*1.3</f>
        <v>43.394000000000005</v>
      </c>
      <c r="K119" s="24" t="s">
        <v>113</v>
      </c>
      <c r="L119" s="3">
        <v>33.38</v>
      </c>
      <c r="M119" s="3">
        <v>11.28</v>
      </c>
      <c r="N119" s="8" t="str">
        <f>CONCATENATE(ROUND(19.04*1.8,2)," ",K119)</f>
        <v>34.27 Per 15 minutes</v>
      </c>
      <c r="O119" s="8" t="str">
        <f t="shared" si="187"/>
        <v>33.38 Per 15 minutes</v>
      </c>
      <c r="P119" s="7" t="s">
        <v>123</v>
      </c>
      <c r="Q119" s="3" t="str">
        <f t="shared" si="188"/>
        <v>33.38 Per 15 minutes</v>
      </c>
      <c r="R119" s="3" t="str">
        <f t="shared" si="189"/>
        <v>36.72 Per 15 minutes</v>
      </c>
      <c r="S119" s="3" t="str">
        <f t="shared" si="190"/>
        <v>33.38 Per 15 minutes</v>
      </c>
      <c r="T119" s="4" t="s">
        <v>388</v>
      </c>
      <c r="U119" s="4" t="s">
        <v>389</v>
      </c>
      <c r="V119" s="3" t="str">
        <f t="shared" si="191"/>
        <v>33.38 Per 15 minutes</v>
      </c>
      <c r="W119" s="3" t="str">
        <f t="shared" si="192"/>
        <v>33.38 Per 15 minutes</v>
      </c>
      <c r="X119" s="3" t="str">
        <f t="shared" si="193"/>
        <v>33.38 Per 15 minutes</v>
      </c>
      <c r="Y119" s="4" t="s">
        <v>392</v>
      </c>
      <c r="Z119" s="3" t="str">
        <f t="shared" si="194"/>
        <v>31.71 Per 15 minutes</v>
      </c>
      <c r="AA119" s="3" t="str">
        <f t="shared" si="195"/>
        <v>31.71 Per 15 minutes</v>
      </c>
      <c r="AB119" s="3" t="str">
        <f t="shared" si="196"/>
        <v>33.38 Per 15 minutes</v>
      </c>
      <c r="AC119" s="3" t="str">
        <f t="shared" si="197"/>
        <v>35.05 Per 15 minutes</v>
      </c>
      <c r="AD119" s="3" t="str">
        <f t="shared" si="198"/>
        <v>33.38 Per 15 minutes</v>
      </c>
      <c r="AE119" s="3" t="str">
        <f t="shared" si="199"/>
        <v>33.38 Per 15 minutes</v>
      </c>
      <c r="AF119" s="3" t="str">
        <f t="shared" si="200"/>
        <v>30.71 Per 15 minutes</v>
      </c>
      <c r="AG119" s="3">
        <f t="shared" si="212"/>
        <v>69.405</v>
      </c>
      <c r="AH119" s="4" t="s">
        <v>111</v>
      </c>
      <c r="AI119" s="4" t="s">
        <v>111</v>
      </c>
      <c r="AJ119" s="4" t="s">
        <v>363</v>
      </c>
      <c r="AK119" s="3" t="str">
        <f t="shared" si="201"/>
        <v>33.38 Per 15 minutes</v>
      </c>
      <c r="AL119" s="3" t="str">
        <f t="shared" si="202"/>
        <v>33.38 Per 15 minutes</v>
      </c>
      <c r="AM119" s="4" t="s">
        <v>124</v>
      </c>
      <c r="AN119" s="4" t="s">
        <v>124</v>
      </c>
      <c r="AO119" s="4" t="s">
        <v>118</v>
      </c>
      <c r="AP119" s="4" t="s">
        <v>119</v>
      </c>
      <c r="AQ119" s="7" t="s">
        <v>83</v>
      </c>
      <c r="AR119" s="2" t="s">
        <v>282</v>
      </c>
      <c r="AS119" s="2" t="s">
        <v>282</v>
      </c>
      <c r="AT119" s="4" t="s">
        <v>126</v>
      </c>
      <c r="AU119" s="3" t="str">
        <f t="shared" si="203"/>
        <v>12.41 Per 15 minutes</v>
      </c>
      <c r="AV119" s="3" t="str">
        <f t="shared" si="204"/>
        <v>33.38 Per 15 minutes</v>
      </c>
      <c r="AW119" s="3" t="str">
        <f t="shared" si="205"/>
        <v>31.71 Per 15 minutes</v>
      </c>
      <c r="AX119" s="3" t="str">
        <f t="shared" si="206"/>
        <v>29.37 Per 15 minutes</v>
      </c>
      <c r="AY119" s="3" t="s">
        <v>125</v>
      </c>
      <c r="AZ119" s="4" t="s">
        <v>400</v>
      </c>
      <c r="BA119" s="4" t="s">
        <v>126</v>
      </c>
      <c r="BB119" s="8">
        <v>0</v>
      </c>
      <c r="BC119" s="8">
        <v>0</v>
      </c>
      <c r="BD119" s="8">
        <v>0</v>
      </c>
      <c r="BE119" s="4" t="s">
        <v>112</v>
      </c>
      <c r="BF119" s="3" t="str">
        <f t="shared" si="207"/>
        <v>33.38 Per 15 minutes</v>
      </c>
      <c r="BG119" s="8" t="str">
        <f t="shared" si="208"/>
        <v>31.71 Per 15 minutes</v>
      </c>
      <c r="BH119" s="4" t="s">
        <v>83</v>
      </c>
      <c r="BI119" s="4" t="s">
        <v>83</v>
      </c>
      <c r="BJ119" s="3" t="str">
        <f t="shared" si="209"/>
        <v>31.71 Per 15 minutes</v>
      </c>
      <c r="BK119" s="3" t="str">
        <f t="shared" si="210"/>
        <v>33.38 Per 15 minutes</v>
      </c>
      <c r="BL119" s="4" t="s">
        <v>391</v>
      </c>
      <c r="BM119" s="7" t="s">
        <v>126</v>
      </c>
      <c r="BN119" s="3" t="str">
        <f t="shared" si="211"/>
        <v>12.41 Per 15 minutes</v>
      </c>
      <c r="BO119" s="3" t="s">
        <v>416</v>
      </c>
    </row>
    <row r="120" spans="1:67" ht="19.5" customHeight="1">
      <c r="A120" s="10">
        <f t="shared" si="137"/>
        <v>119</v>
      </c>
      <c r="B120" s="10">
        <v>97535</v>
      </c>
      <c r="C120" s="10">
        <v>4209753500</v>
      </c>
      <c r="D120" s="30" t="s">
        <v>241</v>
      </c>
      <c r="E120" s="6" t="s">
        <v>89</v>
      </c>
      <c r="F120" s="45">
        <v>111.18</v>
      </c>
      <c r="G120" s="6">
        <v>420</v>
      </c>
      <c r="H120" s="48">
        <v>0</v>
      </c>
      <c r="I120" s="6">
        <v>0</v>
      </c>
      <c r="J120" s="8">
        <f>L120*1.3</f>
        <v>48.724</v>
      </c>
      <c r="K120" s="24" t="s">
        <v>113</v>
      </c>
      <c r="L120" s="3">
        <v>37.48</v>
      </c>
      <c r="M120" s="3">
        <v>5.31</v>
      </c>
      <c r="N120" s="8" t="str">
        <f>CONCATENATE(ROUND(23.69*1.8,2)," ",K120)</f>
        <v>42.64 Per 15 minutes</v>
      </c>
      <c r="O120" s="8" t="str">
        <f t="shared" si="187"/>
        <v>37.48 Per 15 minutes</v>
      </c>
      <c r="P120" s="7" t="s">
        <v>123</v>
      </c>
      <c r="Q120" s="3" t="str">
        <f t="shared" si="188"/>
        <v>37.48 Per 15 minutes</v>
      </c>
      <c r="R120" s="3" t="str">
        <f t="shared" si="189"/>
        <v>41.23 Per 15 minutes</v>
      </c>
      <c r="S120" s="3" t="str">
        <f t="shared" si="190"/>
        <v>37.48 Per 15 minutes</v>
      </c>
      <c r="T120" s="4" t="s">
        <v>388</v>
      </c>
      <c r="U120" s="4" t="s">
        <v>389</v>
      </c>
      <c r="V120" s="3" t="str">
        <f t="shared" si="191"/>
        <v>37.48 Per 15 minutes</v>
      </c>
      <c r="W120" s="3" t="str">
        <f t="shared" si="192"/>
        <v>37.48 Per 15 minutes</v>
      </c>
      <c r="X120" s="3" t="str">
        <f t="shared" si="193"/>
        <v>37.48 Per 15 minutes</v>
      </c>
      <c r="Y120" s="4" t="s">
        <v>392</v>
      </c>
      <c r="Z120" s="3" t="str">
        <f t="shared" si="194"/>
        <v>35.61 Per 15 minutes</v>
      </c>
      <c r="AA120" s="3" t="str">
        <f t="shared" si="195"/>
        <v>35.61 Per 15 minutes</v>
      </c>
      <c r="AB120" s="3" t="str">
        <f t="shared" si="196"/>
        <v>37.48 Per 15 minutes</v>
      </c>
      <c r="AC120" s="3" t="str">
        <f t="shared" si="197"/>
        <v>39.35 Per 15 minutes</v>
      </c>
      <c r="AD120" s="3" t="str">
        <f t="shared" si="198"/>
        <v>37.48 Per 15 minutes</v>
      </c>
      <c r="AE120" s="3" t="str">
        <f t="shared" si="199"/>
        <v>37.48 Per 15 minutes</v>
      </c>
      <c r="AF120" s="3" t="str">
        <f t="shared" si="200"/>
        <v>34.48 Per 15 minutes</v>
      </c>
      <c r="AG120" s="3">
        <f t="shared" si="212"/>
        <v>77.826</v>
      </c>
      <c r="AH120" s="4" t="s">
        <v>111</v>
      </c>
      <c r="AI120" s="4" t="s">
        <v>111</v>
      </c>
      <c r="AJ120" s="4" t="s">
        <v>363</v>
      </c>
      <c r="AK120" s="3" t="str">
        <f t="shared" si="201"/>
        <v>37.48 Per 15 minutes</v>
      </c>
      <c r="AL120" s="3" t="str">
        <f t="shared" si="202"/>
        <v>37.48 Per 15 minutes</v>
      </c>
      <c r="AM120" s="4" t="s">
        <v>124</v>
      </c>
      <c r="AN120" s="4" t="s">
        <v>124</v>
      </c>
      <c r="AO120" s="4" t="s">
        <v>118</v>
      </c>
      <c r="AP120" s="4" t="s">
        <v>119</v>
      </c>
      <c r="AQ120" s="7" t="s">
        <v>83</v>
      </c>
      <c r="AR120" s="2" t="s">
        <v>282</v>
      </c>
      <c r="AS120" s="2" t="s">
        <v>282</v>
      </c>
      <c r="AT120" s="4" t="s">
        <v>126</v>
      </c>
      <c r="AU120" s="3" t="str">
        <f t="shared" si="203"/>
        <v>5.84 Per 15 minutes</v>
      </c>
      <c r="AV120" s="3" t="str">
        <f t="shared" si="204"/>
        <v>37.48 Per 15 minutes</v>
      </c>
      <c r="AW120" s="3" t="str">
        <f t="shared" si="205"/>
        <v>35.61 Per 15 minutes</v>
      </c>
      <c r="AX120" s="3" t="str">
        <f t="shared" si="206"/>
        <v>32.98 Per 15 minutes</v>
      </c>
      <c r="AY120" s="3" t="s">
        <v>125</v>
      </c>
      <c r="AZ120" s="4" t="s">
        <v>400</v>
      </c>
      <c r="BA120" s="4" t="s">
        <v>126</v>
      </c>
      <c r="BB120" s="8">
        <v>0</v>
      </c>
      <c r="BC120" s="8">
        <v>0</v>
      </c>
      <c r="BD120" s="8">
        <v>0</v>
      </c>
      <c r="BE120" s="4" t="s">
        <v>112</v>
      </c>
      <c r="BF120" s="3" t="str">
        <f t="shared" si="207"/>
        <v>37.48 Per 15 minutes</v>
      </c>
      <c r="BG120" s="8" t="str">
        <f t="shared" si="208"/>
        <v>35.61 Per 15 minutes</v>
      </c>
      <c r="BH120" s="4" t="s">
        <v>83</v>
      </c>
      <c r="BI120" s="4" t="s">
        <v>83</v>
      </c>
      <c r="BJ120" s="3" t="str">
        <f t="shared" si="209"/>
        <v>35.61 Per 15 minutes</v>
      </c>
      <c r="BK120" s="3" t="str">
        <f t="shared" si="210"/>
        <v>37.48 Per 15 minutes</v>
      </c>
      <c r="BL120" s="4" t="s">
        <v>391</v>
      </c>
      <c r="BM120" s="7" t="s">
        <v>126</v>
      </c>
      <c r="BN120" s="3" t="str">
        <f t="shared" si="211"/>
        <v>5.84 Per 15 minutes</v>
      </c>
      <c r="BO120" s="3" t="s">
        <v>416</v>
      </c>
    </row>
    <row r="121" spans="1:67" ht="19.5" customHeight="1">
      <c r="A121" s="10">
        <f t="shared" si="137"/>
        <v>120</v>
      </c>
      <c r="B121" s="13">
        <v>97161</v>
      </c>
      <c r="C121" s="6">
        <v>4249716100</v>
      </c>
      <c r="D121" s="30" t="s">
        <v>180</v>
      </c>
      <c r="E121" s="6" t="s">
        <v>89</v>
      </c>
      <c r="F121" s="45">
        <v>337.62</v>
      </c>
      <c r="G121" s="40">
        <v>424</v>
      </c>
      <c r="H121" s="48">
        <v>0</v>
      </c>
      <c r="I121" s="6">
        <v>0</v>
      </c>
      <c r="J121" s="8">
        <v>150</v>
      </c>
      <c r="K121" s="24" t="s">
        <v>115</v>
      </c>
      <c r="L121" s="3">
        <v>112.16</v>
      </c>
      <c r="M121" s="14">
        <v>0</v>
      </c>
      <c r="N121" s="8" t="str">
        <f>CONCATENATE(ROUND(58.45*1.8,2)," ",K121)</f>
        <v>105.21 Per Visit </v>
      </c>
      <c r="O121" s="8" t="str">
        <f t="shared" si="187"/>
        <v>112.16 Per Visit </v>
      </c>
      <c r="P121" s="7" t="s">
        <v>123</v>
      </c>
      <c r="Q121" s="3" t="str">
        <f t="shared" si="188"/>
        <v>112.16 Per Visit </v>
      </c>
      <c r="R121" s="3" t="str">
        <f t="shared" si="189"/>
        <v>123.38 Per Visit </v>
      </c>
      <c r="S121" s="3" t="str">
        <f t="shared" si="190"/>
        <v>112.16 Per Visit </v>
      </c>
      <c r="T121" s="4" t="s">
        <v>388</v>
      </c>
      <c r="U121" s="4" t="s">
        <v>389</v>
      </c>
      <c r="V121" s="3" t="str">
        <f t="shared" si="191"/>
        <v>112.16 Per Visit </v>
      </c>
      <c r="W121" s="3" t="str">
        <f t="shared" si="192"/>
        <v>112.16 Per Visit </v>
      </c>
      <c r="X121" s="3" t="str">
        <f t="shared" si="193"/>
        <v>112.16 Per Visit </v>
      </c>
      <c r="Y121" s="4" t="s">
        <v>392</v>
      </c>
      <c r="Z121" s="3" t="str">
        <f t="shared" si="194"/>
        <v>106.55 Per Visit </v>
      </c>
      <c r="AA121" s="3" t="str">
        <f t="shared" si="195"/>
        <v>106.55 Per Visit </v>
      </c>
      <c r="AB121" s="3" t="str">
        <f t="shared" si="196"/>
        <v>112.16 Per Visit </v>
      </c>
      <c r="AC121" s="3" t="str">
        <f t="shared" si="197"/>
        <v>117.77 Per Visit </v>
      </c>
      <c r="AD121" s="3" t="str">
        <f t="shared" si="198"/>
        <v>112.16 Per Visit </v>
      </c>
      <c r="AE121" s="3" t="str">
        <f t="shared" si="199"/>
        <v>112.16 Per Visit </v>
      </c>
      <c r="AF121" s="3" t="str">
        <f t="shared" si="200"/>
        <v>103.19 Per Visit </v>
      </c>
      <c r="AG121" s="3">
        <f t="shared" si="212"/>
        <v>236.33399999999997</v>
      </c>
      <c r="AH121" s="4" t="s">
        <v>111</v>
      </c>
      <c r="AI121" s="4" t="s">
        <v>111</v>
      </c>
      <c r="AJ121" s="4" t="s">
        <v>363</v>
      </c>
      <c r="AK121" s="3" t="str">
        <f t="shared" si="201"/>
        <v>112.16 Per Visit </v>
      </c>
      <c r="AL121" s="3" t="str">
        <f t="shared" si="202"/>
        <v>112.16 Per Visit </v>
      </c>
      <c r="AM121" s="4" t="s">
        <v>124</v>
      </c>
      <c r="AN121" s="4" t="s">
        <v>124</v>
      </c>
      <c r="AO121" s="4" t="s">
        <v>118</v>
      </c>
      <c r="AP121" s="4" t="s">
        <v>119</v>
      </c>
      <c r="AQ121" s="7" t="s">
        <v>83</v>
      </c>
      <c r="AR121" s="2" t="s">
        <v>282</v>
      </c>
      <c r="AS121" s="2" t="s">
        <v>282</v>
      </c>
      <c r="AT121" s="4" t="s">
        <v>126</v>
      </c>
      <c r="AU121" s="3">
        <f>M121</f>
        <v>0</v>
      </c>
      <c r="AV121" s="3" t="str">
        <f t="shared" si="204"/>
        <v>112.16 Per Visit </v>
      </c>
      <c r="AW121" s="3" t="str">
        <f t="shared" si="205"/>
        <v>106.55 Per Visit </v>
      </c>
      <c r="AX121" s="3" t="str">
        <f t="shared" si="206"/>
        <v>98.7 Per Visit </v>
      </c>
      <c r="AY121" s="3" t="s">
        <v>125</v>
      </c>
      <c r="AZ121" s="4" t="s">
        <v>400</v>
      </c>
      <c r="BA121" s="4" t="s">
        <v>126</v>
      </c>
      <c r="BB121" s="8">
        <v>0</v>
      </c>
      <c r="BC121" s="8">
        <v>0</v>
      </c>
      <c r="BD121" s="8">
        <v>0</v>
      </c>
      <c r="BE121" s="4" t="s">
        <v>112</v>
      </c>
      <c r="BF121" s="3" t="str">
        <f t="shared" si="207"/>
        <v>112.16 Per Visit </v>
      </c>
      <c r="BG121" s="8" t="str">
        <f t="shared" si="208"/>
        <v>106.55 Per Visit </v>
      </c>
      <c r="BH121" s="4" t="s">
        <v>83</v>
      </c>
      <c r="BI121" s="4" t="s">
        <v>83</v>
      </c>
      <c r="BJ121" s="3" t="str">
        <f t="shared" si="209"/>
        <v>106.55 Per Visit </v>
      </c>
      <c r="BK121" s="3" t="str">
        <f t="shared" si="210"/>
        <v>112.16 Per Visit </v>
      </c>
      <c r="BL121" s="4" t="s">
        <v>391</v>
      </c>
      <c r="BM121" s="7" t="s">
        <v>126</v>
      </c>
      <c r="BN121" s="3" t="str">
        <f>AX121</f>
        <v>98.7 Per Visit </v>
      </c>
      <c r="BO121" s="3" t="s">
        <v>416</v>
      </c>
    </row>
    <row r="122" spans="1:67" ht="19.5" customHeight="1">
      <c r="A122" s="10">
        <f t="shared" si="137"/>
        <v>121</v>
      </c>
      <c r="B122" s="13">
        <v>97162</v>
      </c>
      <c r="C122" s="6">
        <v>4249716200</v>
      </c>
      <c r="D122" s="30" t="s">
        <v>179</v>
      </c>
      <c r="E122" s="6" t="s">
        <v>89</v>
      </c>
      <c r="F122" s="45">
        <v>337.62</v>
      </c>
      <c r="G122" s="40">
        <v>424</v>
      </c>
      <c r="H122" s="48">
        <v>0</v>
      </c>
      <c r="I122" s="6">
        <v>0</v>
      </c>
      <c r="J122" s="8">
        <v>150</v>
      </c>
      <c r="K122" s="24" t="s">
        <v>115</v>
      </c>
      <c r="L122" s="3">
        <v>112.16</v>
      </c>
      <c r="M122" s="14">
        <v>0</v>
      </c>
      <c r="N122" s="8" t="str">
        <f>CONCATENATE(ROUND(58.45*1.8,2)," ",K122)</f>
        <v>105.21 Per Visit </v>
      </c>
      <c r="O122" s="8" t="str">
        <f t="shared" si="187"/>
        <v>112.16 Per Visit </v>
      </c>
      <c r="P122" s="7" t="s">
        <v>123</v>
      </c>
      <c r="Q122" s="3" t="str">
        <f t="shared" si="188"/>
        <v>112.16 Per Visit </v>
      </c>
      <c r="R122" s="3" t="str">
        <f t="shared" si="189"/>
        <v>123.38 Per Visit </v>
      </c>
      <c r="S122" s="3" t="str">
        <f t="shared" si="190"/>
        <v>112.16 Per Visit </v>
      </c>
      <c r="T122" s="4" t="s">
        <v>388</v>
      </c>
      <c r="U122" s="4" t="s">
        <v>389</v>
      </c>
      <c r="V122" s="3" t="str">
        <f t="shared" si="191"/>
        <v>112.16 Per Visit </v>
      </c>
      <c r="W122" s="3" t="str">
        <f t="shared" si="192"/>
        <v>112.16 Per Visit </v>
      </c>
      <c r="X122" s="3" t="str">
        <f t="shared" si="193"/>
        <v>112.16 Per Visit </v>
      </c>
      <c r="Y122" s="4" t="s">
        <v>392</v>
      </c>
      <c r="Z122" s="3" t="str">
        <f t="shared" si="194"/>
        <v>106.55 Per Visit </v>
      </c>
      <c r="AA122" s="3" t="str">
        <f t="shared" si="195"/>
        <v>106.55 Per Visit </v>
      </c>
      <c r="AB122" s="3" t="str">
        <f t="shared" si="196"/>
        <v>112.16 Per Visit </v>
      </c>
      <c r="AC122" s="3" t="str">
        <f t="shared" si="197"/>
        <v>117.77 Per Visit </v>
      </c>
      <c r="AD122" s="3" t="str">
        <f t="shared" si="198"/>
        <v>112.16 Per Visit </v>
      </c>
      <c r="AE122" s="3" t="str">
        <f t="shared" si="199"/>
        <v>112.16 Per Visit </v>
      </c>
      <c r="AF122" s="3" t="str">
        <f t="shared" si="200"/>
        <v>103.19 Per Visit </v>
      </c>
      <c r="AG122" s="3">
        <f t="shared" si="212"/>
        <v>236.33399999999997</v>
      </c>
      <c r="AH122" s="4" t="s">
        <v>111</v>
      </c>
      <c r="AI122" s="4" t="s">
        <v>111</v>
      </c>
      <c r="AJ122" s="4" t="s">
        <v>363</v>
      </c>
      <c r="AK122" s="3" t="str">
        <f t="shared" si="201"/>
        <v>112.16 Per Visit </v>
      </c>
      <c r="AL122" s="3" t="str">
        <f t="shared" si="202"/>
        <v>112.16 Per Visit </v>
      </c>
      <c r="AM122" s="4" t="s">
        <v>124</v>
      </c>
      <c r="AN122" s="4" t="s">
        <v>124</v>
      </c>
      <c r="AO122" s="4" t="s">
        <v>118</v>
      </c>
      <c r="AP122" s="4" t="s">
        <v>119</v>
      </c>
      <c r="AQ122" s="7" t="s">
        <v>83</v>
      </c>
      <c r="AR122" s="2" t="s">
        <v>282</v>
      </c>
      <c r="AS122" s="2" t="s">
        <v>282</v>
      </c>
      <c r="AT122" s="4" t="s">
        <v>126</v>
      </c>
      <c r="AU122" s="3">
        <f>M122</f>
        <v>0</v>
      </c>
      <c r="AV122" s="3" t="str">
        <f t="shared" si="204"/>
        <v>112.16 Per Visit </v>
      </c>
      <c r="AW122" s="3" t="str">
        <f t="shared" si="205"/>
        <v>106.55 Per Visit </v>
      </c>
      <c r="AX122" s="3" t="str">
        <f t="shared" si="206"/>
        <v>98.7 Per Visit </v>
      </c>
      <c r="AY122" s="3" t="s">
        <v>125</v>
      </c>
      <c r="AZ122" s="4" t="s">
        <v>400</v>
      </c>
      <c r="BA122" s="4" t="s">
        <v>126</v>
      </c>
      <c r="BB122" s="8">
        <v>0</v>
      </c>
      <c r="BC122" s="8">
        <v>0</v>
      </c>
      <c r="BD122" s="8">
        <v>0</v>
      </c>
      <c r="BE122" s="4" t="s">
        <v>112</v>
      </c>
      <c r="BF122" s="3" t="str">
        <f t="shared" si="207"/>
        <v>112.16 Per Visit </v>
      </c>
      <c r="BG122" s="8" t="str">
        <f t="shared" si="208"/>
        <v>106.55 Per Visit </v>
      </c>
      <c r="BH122" s="4" t="s">
        <v>83</v>
      </c>
      <c r="BI122" s="4" t="s">
        <v>83</v>
      </c>
      <c r="BJ122" s="3" t="str">
        <f t="shared" si="209"/>
        <v>106.55 Per Visit </v>
      </c>
      <c r="BK122" s="3" t="str">
        <f t="shared" si="210"/>
        <v>112.16 Per Visit </v>
      </c>
      <c r="BL122" s="4" t="s">
        <v>391</v>
      </c>
      <c r="BM122" s="7" t="s">
        <v>126</v>
      </c>
      <c r="BN122" s="3" t="str">
        <f>AX122</f>
        <v>98.7 Per Visit </v>
      </c>
      <c r="BO122" s="3" t="s">
        <v>416</v>
      </c>
    </row>
    <row r="123" spans="1:67" ht="19.5" customHeight="1">
      <c r="A123" s="10">
        <f t="shared" si="137"/>
        <v>122</v>
      </c>
      <c r="B123" s="13">
        <v>97163</v>
      </c>
      <c r="C123" s="6">
        <v>4249716300</v>
      </c>
      <c r="D123" s="30" t="s">
        <v>181</v>
      </c>
      <c r="E123" s="6" t="s">
        <v>89</v>
      </c>
      <c r="F123" s="45">
        <v>337.62</v>
      </c>
      <c r="G123" s="40">
        <v>424</v>
      </c>
      <c r="H123" s="48">
        <v>0</v>
      </c>
      <c r="I123" s="6">
        <v>0</v>
      </c>
      <c r="J123" s="8">
        <v>150</v>
      </c>
      <c r="K123" s="24" t="s">
        <v>115</v>
      </c>
      <c r="L123" s="3">
        <v>112.16</v>
      </c>
      <c r="M123" s="14">
        <v>0</v>
      </c>
      <c r="N123" s="8" t="str">
        <f>CONCATENATE(ROUND(58.45*1.8,2)," ",K123)</f>
        <v>105.21 Per Visit </v>
      </c>
      <c r="O123" s="8" t="str">
        <f t="shared" si="187"/>
        <v>112.16 Per Visit </v>
      </c>
      <c r="P123" s="7" t="s">
        <v>123</v>
      </c>
      <c r="Q123" s="3" t="str">
        <f t="shared" si="188"/>
        <v>112.16 Per Visit </v>
      </c>
      <c r="R123" s="3" t="str">
        <f t="shared" si="189"/>
        <v>123.38 Per Visit </v>
      </c>
      <c r="S123" s="3" t="str">
        <f t="shared" si="190"/>
        <v>112.16 Per Visit </v>
      </c>
      <c r="T123" s="4" t="s">
        <v>388</v>
      </c>
      <c r="U123" s="4" t="s">
        <v>389</v>
      </c>
      <c r="V123" s="3" t="str">
        <f t="shared" si="191"/>
        <v>112.16 Per Visit </v>
      </c>
      <c r="W123" s="3" t="str">
        <f t="shared" si="192"/>
        <v>112.16 Per Visit </v>
      </c>
      <c r="X123" s="3" t="str">
        <f t="shared" si="193"/>
        <v>112.16 Per Visit </v>
      </c>
      <c r="Y123" s="4" t="s">
        <v>392</v>
      </c>
      <c r="Z123" s="3" t="str">
        <f t="shared" si="194"/>
        <v>106.55 Per Visit </v>
      </c>
      <c r="AA123" s="3" t="str">
        <f t="shared" si="195"/>
        <v>106.55 Per Visit </v>
      </c>
      <c r="AB123" s="3" t="str">
        <f t="shared" si="196"/>
        <v>112.16 Per Visit </v>
      </c>
      <c r="AC123" s="3" t="str">
        <f t="shared" si="197"/>
        <v>117.77 Per Visit </v>
      </c>
      <c r="AD123" s="3" t="str">
        <f t="shared" si="198"/>
        <v>112.16 Per Visit </v>
      </c>
      <c r="AE123" s="3" t="str">
        <f t="shared" si="199"/>
        <v>112.16 Per Visit </v>
      </c>
      <c r="AF123" s="3" t="str">
        <f t="shared" si="200"/>
        <v>103.19 Per Visit </v>
      </c>
      <c r="AG123" s="3">
        <f t="shared" si="212"/>
        <v>236.33399999999997</v>
      </c>
      <c r="AH123" s="4" t="s">
        <v>111</v>
      </c>
      <c r="AI123" s="4" t="s">
        <v>111</v>
      </c>
      <c r="AJ123" s="4" t="s">
        <v>363</v>
      </c>
      <c r="AK123" s="3" t="str">
        <f t="shared" si="201"/>
        <v>112.16 Per Visit </v>
      </c>
      <c r="AL123" s="3" t="str">
        <f t="shared" si="202"/>
        <v>112.16 Per Visit </v>
      </c>
      <c r="AM123" s="4" t="s">
        <v>124</v>
      </c>
      <c r="AN123" s="4" t="s">
        <v>124</v>
      </c>
      <c r="AO123" s="4" t="s">
        <v>118</v>
      </c>
      <c r="AP123" s="4" t="s">
        <v>119</v>
      </c>
      <c r="AQ123" s="7" t="s">
        <v>83</v>
      </c>
      <c r="AR123" s="2" t="s">
        <v>282</v>
      </c>
      <c r="AS123" s="2" t="s">
        <v>282</v>
      </c>
      <c r="AT123" s="4" t="s">
        <v>126</v>
      </c>
      <c r="AU123" s="3">
        <f>M123</f>
        <v>0</v>
      </c>
      <c r="AV123" s="3" t="str">
        <f t="shared" si="204"/>
        <v>112.16 Per Visit </v>
      </c>
      <c r="AW123" s="3" t="str">
        <f t="shared" si="205"/>
        <v>106.55 Per Visit </v>
      </c>
      <c r="AX123" s="3" t="str">
        <f t="shared" si="206"/>
        <v>98.7 Per Visit </v>
      </c>
      <c r="AY123" s="3" t="s">
        <v>125</v>
      </c>
      <c r="AZ123" s="4" t="s">
        <v>400</v>
      </c>
      <c r="BA123" s="4" t="s">
        <v>126</v>
      </c>
      <c r="BB123" s="8">
        <v>0</v>
      </c>
      <c r="BC123" s="8">
        <v>0</v>
      </c>
      <c r="BD123" s="8">
        <v>0</v>
      </c>
      <c r="BE123" s="4" t="s">
        <v>112</v>
      </c>
      <c r="BF123" s="3" t="str">
        <f t="shared" si="207"/>
        <v>112.16 Per Visit </v>
      </c>
      <c r="BG123" s="8" t="str">
        <f t="shared" si="208"/>
        <v>106.55 Per Visit </v>
      </c>
      <c r="BH123" s="4" t="s">
        <v>83</v>
      </c>
      <c r="BI123" s="4" t="s">
        <v>83</v>
      </c>
      <c r="BJ123" s="3" t="str">
        <f t="shared" si="209"/>
        <v>106.55 Per Visit </v>
      </c>
      <c r="BK123" s="3" t="str">
        <f t="shared" si="210"/>
        <v>112.16 Per Visit </v>
      </c>
      <c r="BL123" s="4" t="s">
        <v>391</v>
      </c>
      <c r="BM123" s="7" t="s">
        <v>126</v>
      </c>
      <c r="BN123" s="3" t="str">
        <f>AX123</f>
        <v>98.7 Per Visit </v>
      </c>
      <c r="BO123" s="3" t="s">
        <v>416</v>
      </c>
    </row>
    <row r="124" spans="1:67" ht="19.5" customHeight="1">
      <c r="A124" s="10">
        <f t="shared" si="137"/>
        <v>123</v>
      </c>
      <c r="B124" s="13">
        <v>97164</v>
      </c>
      <c r="C124" s="6">
        <v>4249716400</v>
      </c>
      <c r="D124" s="30" t="s">
        <v>335</v>
      </c>
      <c r="E124" s="6" t="s">
        <v>89</v>
      </c>
      <c r="F124" s="45">
        <v>235.05</v>
      </c>
      <c r="G124" s="40">
        <v>424</v>
      </c>
      <c r="H124" s="48">
        <v>0</v>
      </c>
      <c r="I124" s="6">
        <v>0</v>
      </c>
      <c r="J124" s="8">
        <f>L124*1.3</f>
        <v>100.30799999999999</v>
      </c>
      <c r="K124" s="24" t="s">
        <v>115</v>
      </c>
      <c r="L124" s="25">
        <v>77.16</v>
      </c>
      <c r="M124" s="14">
        <v>0</v>
      </c>
      <c r="N124" s="8" t="str">
        <f>CONCATENATE(ROUND(39.53*1.8,2)," ",K124)</f>
        <v>71.15 Per Visit </v>
      </c>
      <c r="O124" s="8" t="str">
        <f t="shared" si="187"/>
        <v>77.16 Per Visit </v>
      </c>
      <c r="P124" s="7" t="s">
        <v>123</v>
      </c>
      <c r="Q124" s="3" t="str">
        <f t="shared" si="188"/>
        <v>77.16 Per Visit </v>
      </c>
      <c r="R124" s="3" t="str">
        <f t="shared" si="189"/>
        <v>84.88 Per Visit </v>
      </c>
      <c r="S124" s="3" t="str">
        <f t="shared" si="190"/>
        <v>77.16 Per Visit </v>
      </c>
      <c r="T124" s="4" t="s">
        <v>388</v>
      </c>
      <c r="U124" s="4" t="s">
        <v>389</v>
      </c>
      <c r="V124" s="3" t="str">
        <f t="shared" si="191"/>
        <v>77.16 Per Visit </v>
      </c>
      <c r="W124" s="3" t="str">
        <f t="shared" si="192"/>
        <v>77.16 Per Visit </v>
      </c>
      <c r="X124" s="3" t="str">
        <f t="shared" si="193"/>
        <v>77.16 Per Visit </v>
      </c>
      <c r="Y124" s="4" t="s">
        <v>392</v>
      </c>
      <c r="Z124" s="3" t="str">
        <f t="shared" si="194"/>
        <v>73.3 Per Visit </v>
      </c>
      <c r="AA124" s="3" t="str">
        <f t="shared" si="195"/>
        <v>73.3 Per Visit </v>
      </c>
      <c r="AB124" s="3" t="str">
        <f t="shared" si="196"/>
        <v>77.16 Per Visit </v>
      </c>
      <c r="AC124" s="3" t="str">
        <f t="shared" si="197"/>
        <v>81.02 Per Visit </v>
      </c>
      <c r="AD124" s="3" t="str">
        <f t="shared" si="198"/>
        <v>77.16 Per Visit </v>
      </c>
      <c r="AE124" s="3" t="str">
        <f t="shared" si="199"/>
        <v>77.16 Per Visit </v>
      </c>
      <c r="AF124" s="3" t="str">
        <f t="shared" si="200"/>
        <v>70.99 Per Visit </v>
      </c>
      <c r="AG124" s="3">
        <f t="shared" si="212"/>
        <v>164.535</v>
      </c>
      <c r="AH124" s="4" t="s">
        <v>111</v>
      </c>
      <c r="AI124" s="4" t="s">
        <v>111</v>
      </c>
      <c r="AJ124" s="4" t="s">
        <v>363</v>
      </c>
      <c r="AK124" s="3" t="str">
        <f t="shared" si="201"/>
        <v>77.16 Per Visit </v>
      </c>
      <c r="AL124" s="3" t="str">
        <f t="shared" si="202"/>
        <v>77.16 Per Visit </v>
      </c>
      <c r="AM124" s="4" t="s">
        <v>124</v>
      </c>
      <c r="AN124" s="4" t="s">
        <v>124</v>
      </c>
      <c r="AO124" s="4" t="s">
        <v>118</v>
      </c>
      <c r="AP124" s="4" t="s">
        <v>119</v>
      </c>
      <c r="AQ124" s="7" t="s">
        <v>83</v>
      </c>
      <c r="AR124" s="2" t="s">
        <v>282</v>
      </c>
      <c r="AS124" s="2" t="s">
        <v>282</v>
      </c>
      <c r="AT124" s="4" t="s">
        <v>126</v>
      </c>
      <c r="AU124" s="3">
        <f>M124</f>
        <v>0</v>
      </c>
      <c r="AV124" s="3" t="str">
        <f t="shared" si="204"/>
        <v>77.16 Per Visit </v>
      </c>
      <c r="AW124" s="3" t="str">
        <f t="shared" si="205"/>
        <v>73.3 Per Visit </v>
      </c>
      <c r="AX124" s="3" t="str">
        <f t="shared" si="206"/>
        <v>67.9 Per Visit </v>
      </c>
      <c r="AY124" s="3" t="s">
        <v>125</v>
      </c>
      <c r="AZ124" s="4" t="s">
        <v>400</v>
      </c>
      <c r="BA124" s="4" t="s">
        <v>126</v>
      </c>
      <c r="BB124" s="8">
        <v>0</v>
      </c>
      <c r="BC124" s="8">
        <v>0</v>
      </c>
      <c r="BD124" s="8">
        <v>0</v>
      </c>
      <c r="BE124" s="4" t="s">
        <v>112</v>
      </c>
      <c r="BF124" s="3" t="str">
        <f t="shared" si="207"/>
        <v>77.16 Per Visit </v>
      </c>
      <c r="BG124" s="8" t="str">
        <f t="shared" si="208"/>
        <v>73.3 Per Visit </v>
      </c>
      <c r="BH124" s="4" t="s">
        <v>83</v>
      </c>
      <c r="BI124" s="4" t="s">
        <v>83</v>
      </c>
      <c r="BJ124" s="3" t="str">
        <f t="shared" si="209"/>
        <v>73.3 Per Visit </v>
      </c>
      <c r="BK124" s="3" t="str">
        <f t="shared" si="210"/>
        <v>77.16 Per Visit </v>
      </c>
      <c r="BL124" s="4" t="s">
        <v>391</v>
      </c>
      <c r="BM124" s="7" t="s">
        <v>126</v>
      </c>
      <c r="BN124" s="3" t="str">
        <f>AX124</f>
        <v>67.9 Per Visit </v>
      </c>
      <c r="BO124" s="3" t="s">
        <v>416</v>
      </c>
    </row>
    <row r="125" spans="1:67" ht="19.5" customHeight="1">
      <c r="A125" s="10">
        <f t="shared" si="137"/>
        <v>124</v>
      </c>
      <c r="B125" s="13">
        <v>97150</v>
      </c>
      <c r="C125" s="6">
        <v>4239715000</v>
      </c>
      <c r="D125" s="30" t="s">
        <v>242</v>
      </c>
      <c r="E125" s="6" t="s">
        <v>89</v>
      </c>
      <c r="F125" s="45">
        <v>116</v>
      </c>
      <c r="G125" s="40">
        <v>423</v>
      </c>
      <c r="H125" s="48">
        <v>0</v>
      </c>
      <c r="I125" s="6">
        <v>0</v>
      </c>
      <c r="J125" s="8">
        <v>60</v>
      </c>
      <c r="K125" s="24" t="s">
        <v>115</v>
      </c>
      <c r="L125" s="3">
        <v>19.89</v>
      </c>
      <c r="M125" s="1">
        <v>13.54</v>
      </c>
      <c r="N125" s="8" t="str">
        <f>CONCATENATE(ROUND(13.9*1.8,2)," ",K125)</f>
        <v>25.02 Per Visit </v>
      </c>
      <c r="O125" s="8" t="str">
        <f t="shared" si="187"/>
        <v>19.89 Per Visit </v>
      </c>
      <c r="P125" s="7" t="s">
        <v>123</v>
      </c>
      <c r="Q125" s="3" t="str">
        <f t="shared" si="188"/>
        <v>19.89 Per Visit </v>
      </c>
      <c r="R125" s="3" t="str">
        <f t="shared" si="189"/>
        <v>21.88 Per Visit </v>
      </c>
      <c r="S125" s="3" t="str">
        <f t="shared" si="190"/>
        <v>19.89 Per Visit </v>
      </c>
      <c r="T125" s="4" t="s">
        <v>388</v>
      </c>
      <c r="U125" s="4" t="s">
        <v>389</v>
      </c>
      <c r="V125" s="3" t="str">
        <f t="shared" si="191"/>
        <v>19.89 Per Visit </v>
      </c>
      <c r="W125" s="3" t="str">
        <f t="shared" si="192"/>
        <v>19.89 Per Visit </v>
      </c>
      <c r="X125" s="3" t="str">
        <f t="shared" si="193"/>
        <v>19.89 Per Visit </v>
      </c>
      <c r="Y125" s="4" t="s">
        <v>392</v>
      </c>
      <c r="Z125" s="3" t="str">
        <f t="shared" si="194"/>
        <v>18.9 Per Visit </v>
      </c>
      <c r="AA125" s="3" t="str">
        <f t="shared" si="195"/>
        <v>18.9 Per Visit </v>
      </c>
      <c r="AB125" s="3" t="str">
        <f t="shared" si="196"/>
        <v>19.89 Per Visit </v>
      </c>
      <c r="AC125" s="3" t="str">
        <f t="shared" si="197"/>
        <v>20.88 Per Visit </v>
      </c>
      <c r="AD125" s="3" t="str">
        <f t="shared" si="198"/>
        <v>19.89 Per Visit </v>
      </c>
      <c r="AE125" s="3" t="str">
        <f t="shared" si="199"/>
        <v>19.89 Per Visit </v>
      </c>
      <c r="AF125" s="3" t="str">
        <f t="shared" si="200"/>
        <v>18.3 Per Visit </v>
      </c>
      <c r="AG125" s="3">
        <f t="shared" si="212"/>
        <v>81.19999999999999</v>
      </c>
      <c r="AH125" s="4" t="s">
        <v>111</v>
      </c>
      <c r="AI125" s="4" t="s">
        <v>111</v>
      </c>
      <c r="AJ125" s="4" t="s">
        <v>363</v>
      </c>
      <c r="AK125" s="3" t="str">
        <f t="shared" si="201"/>
        <v>19.89 Per Visit </v>
      </c>
      <c r="AL125" s="3" t="str">
        <f t="shared" si="202"/>
        <v>19.89 Per Visit </v>
      </c>
      <c r="AM125" s="4" t="s">
        <v>124</v>
      </c>
      <c r="AN125" s="4" t="s">
        <v>124</v>
      </c>
      <c r="AO125" s="4" t="s">
        <v>118</v>
      </c>
      <c r="AP125" s="4" t="s">
        <v>119</v>
      </c>
      <c r="AQ125" s="7" t="s">
        <v>83</v>
      </c>
      <c r="AR125" s="2" t="s">
        <v>282</v>
      </c>
      <c r="AS125" s="2" t="s">
        <v>282</v>
      </c>
      <c r="AT125" s="4" t="s">
        <v>126</v>
      </c>
      <c r="AU125" s="3" t="str">
        <f>CONCATENATE(ROUND(M125*1.1,2)," ",K125)</f>
        <v>14.89 Per Visit </v>
      </c>
      <c r="AV125" s="3" t="str">
        <f t="shared" si="204"/>
        <v>19.89 Per Visit </v>
      </c>
      <c r="AW125" s="3" t="str">
        <f t="shared" si="205"/>
        <v>18.9 Per Visit </v>
      </c>
      <c r="AX125" s="3" t="str">
        <f t="shared" si="206"/>
        <v>17.5 Per Visit </v>
      </c>
      <c r="AY125" s="3" t="s">
        <v>125</v>
      </c>
      <c r="AZ125" s="4" t="s">
        <v>400</v>
      </c>
      <c r="BA125" s="4" t="s">
        <v>126</v>
      </c>
      <c r="BB125" s="8">
        <v>0</v>
      </c>
      <c r="BC125" s="8">
        <v>0</v>
      </c>
      <c r="BD125" s="8">
        <v>0</v>
      </c>
      <c r="BE125" s="4" t="s">
        <v>112</v>
      </c>
      <c r="BF125" s="3" t="str">
        <f t="shared" si="207"/>
        <v>19.89 Per Visit </v>
      </c>
      <c r="BG125" s="8" t="str">
        <f t="shared" si="208"/>
        <v>18.9 Per Visit </v>
      </c>
      <c r="BH125" s="4" t="s">
        <v>83</v>
      </c>
      <c r="BI125" s="4" t="s">
        <v>83</v>
      </c>
      <c r="BJ125" s="3" t="str">
        <f t="shared" si="209"/>
        <v>18.9 Per Visit </v>
      </c>
      <c r="BK125" s="3" t="str">
        <f t="shared" si="210"/>
        <v>19.89 Per Visit </v>
      </c>
      <c r="BL125" s="4" t="s">
        <v>391</v>
      </c>
      <c r="BM125" s="7" t="s">
        <v>126</v>
      </c>
      <c r="BN125" s="3" t="str">
        <f>AU125</f>
        <v>14.89 Per Visit </v>
      </c>
      <c r="BO125" s="3" t="s">
        <v>416</v>
      </c>
    </row>
    <row r="126" spans="1:67" ht="19.5" customHeight="1">
      <c r="A126" s="10">
        <f t="shared" si="137"/>
        <v>125</v>
      </c>
      <c r="B126" s="13">
        <v>97022</v>
      </c>
      <c r="C126" s="6">
        <v>4209702200</v>
      </c>
      <c r="D126" s="30" t="s">
        <v>240</v>
      </c>
      <c r="E126" s="6" t="s">
        <v>89</v>
      </c>
      <c r="F126" s="45">
        <v>58.56</v>
      </c>
      <c r="G126" s="40">
        <v>420</v>
      </c>
      <c r="H126" s="48">
        <v>0</v>
      </c>
      <c r="I126" s="6">
        <v>0</v>
      </c>
      <c r="J126" s="8">
        <f>L126*1.3</f>
        <v>26.546000000000003</v>
      </c>
      <c r="K126" s="24" t="s">
        <v>115</v>
      </c>
      <c r="L126" s="3">
        <v>20.42</v>
      </c>
      <c r="M126" s="1">
        <v>11.14</v>
      </c>
      <c r="N126" s="8" t="str">
        <f>CONCATENATE(ROUND(15.38*1.8,2)," ",K126)</f>
        <v>27.68 Per Visit </v>
      </c>
      <c r="O126" s="8" t="str">
        <f t="shared" si="187"/>
        <v>20.42 Per Visit </v>
      </c>
      <c r="P126" s="7" t="s">
        <v>123</v>
      </c>
      <c r="Q126" s="3" t="str">
        <f t="shared" si="188"/>
        <v>20.42 Per Visit </v>
      </c>
      <c r="R126" s="3" t="str">
        <f t="shared" si="189"/>
        <v>22.46 Per Visit </v>
      </c>
      <c r="S126" s="3" t="str">
        <f t="shared" si="190"/>
        <v>20.42 Per Visit </v>
      </c>
      <c r="T126" s="4" t="s">
        <v>388</v>
      </c>
      <c r="U126" s="4" t="s">
        <v>389</v>
      </c>
      <c r="V126" s="3" t="str">
        <f t="shared" si="191"/>
        <v>20.42 Per Visit </v>
      </c>
      <c r="W126" s="3" t="str">
        <f t="shared" si="192"/>
        <v>20.42 Per Visit </v>
      </c>
      <c r="X126" s="3" t="str">
        <f t="shared" si="193"/>
        <v>20.42 Per Visit </v>
      </c>
      <c r="Y126" s="4" t="s">
        <v>392</v>
      </c>
      <c r="Z126" s="3" t="str">
        <f t="shared" si="194"/>
        <v>19.4 Per Visit </v>
      </c>
      <c r="AA126" s="3" t="str">
        <f t="shared" si="195"/>
        <v>19.4 Per Visit </v>
      </c>
      <c r="AB126" s="3" t="str">
        <f t="shared" si="196"/>
        <v>20.42 Per Visit </v>
      </c>
      <c r="AC126" s="3" t="str">
        <f t="shared" si="197"/>
        <v>21.44 Per Visit </v>
      </c>
      <c r="AD126" s="3" t="str">
        <f t="shared" si="198"/>
        <v>20.42 Per Visit </v>
      </c>
      <c r="AE126" s="3" t="str">
        <f t="shared" si="199"/>
        <v>20.42 Per Visit </v>
      </c>
      <c r="AF126" s="3" t="str">
        <f t="shared" si="200"/>
        <v>18.79 Per Visit </v>
      </c>
      <c r="AG126" s="3">
        <f>F125*0.7</f>
        <v>81.19999999999999</v>
      </c>
      <c r="AH126" s="4" t="s">
        <v>111</v>
      </c>
      <c r="AI126" s="4" t="s">
        <v>111</v>
      </c>
      <c r="AJ126" s="4" t="s">
        <v>363</v>
      </c>
      <c r="AK126" s="3" t="str">
        <f t="shared" si="201"/>
        <v>20.42 Per Visit </v>
      </c>
      <c r="AL126" s="3" t="str">
        <f t="shared" si="202"/>
        <v>20.42 Per Visit </v>
      </c>
      <c r="AM126" s="4" t="s">
        <v>124</v>
      </c>
      <c r="AN126" s="4" t="s">
        <v>124</v>
      </c>
      <c r="AO126" s="4" t="s">
        <v>118</v>
      </c>
      <c r="AP126" s="4" t="s">
        <v>119</v>
      </c>
      <c r="AQ126" s="7" t="s">
        <v>83</v>
      </c>
      <c r="AR126" s="2" t="s">
        <v>282</v>
      </c>
      <c r="AS126" s="2" t="s">
        <v>282</v>
      </c>
      <c r="AT126" s="4" t="s">
        <v>126</v>
      </c>
      <c r="AU126" s="3" t="str">
        <f>CONCATENATE(ROUND(M126*1.1,2)," ",K126)</f>
        <v>12.25 Per Visit </v>
      </c>
      <c r="AV126" s="3" t="str">
        <f t="shared" si="204"/>
        <v>20.42 Per Visit </v>
      </c>
      <c r="AW126" s="3" t="str">
        <f t="shared" si="205"/>
        <v>19.4 Per Visit </v>
      </c>
      <c r="AX126" s="3" t="str">
        <f t="shared" si="206"/>
        <v>17.97 Per Visit </v>
      </c>
      <c r="AY126" s="3" t="s">
        <v>125</v>
      </c>
      <c r="AZ126" s="4" t="s">
        <v>400</v>
      </c>
      <c r="BA126" s="4" t="s">
        <v>126</v>
      </c>
      <c r="BB126" s="8">
        <v>0</v>
      </c>
      <c r="BC126" s="8">
        <v>0</v>
      </c>
      <c r="BD126" s="8">
        <v>0</v>
      </c>
      <c r="BE126" s="4" t="s">
        <v>112</v>
      </c>
      <c r="BF126" s="3" t="str">
        <f t="shared" si="207"/>
        <v>20.42 Per Visit </v>
      </c>
      <c r="BG126" s="8" t="str">
        <f t="shared" si="208"/>
        <v>19.4 Per Visit </v>
      </c>
      <c r="BH126" s="4" t="s">
        <v>83</v>
      </c>
      <c r="BI126" s="4" t="s">
        <v>83</v>
      </c>
      <c r="BJ126" s="3" t="str">
        <f t="shared" si="209"/>
        <v>19.4 Per Visit </v>
      </c>
      <c r="BK126" s="3" t="str">
        <f t="shared" si="210"/>
        <v>20.42 Per Visit </v>
      </c>
      <c r="BL126" s="4" t="s">
        <v>391</v>
      </c>
      <c r="BM126" s="7" t="s">
        <v>126</v>
      </c>
      <c r="BN126" s="3" t="str">
        <f>AU126</f>
        <v>12.25 Per Visit </v>
      </c>
      <c r="BO126" s="3" t="s">
        <v>416</v>
      </c>
    </row>
    <row r="127" spans="1:67" ht="19.5" customHeight="1">
      <c r="A127" s="10">
        <f t="shared" si="137"/>
        <v>126</v>
      </c>
      <c r="B127" s="13">
        <v>97018</v>
      </c>
      <c r="C127" s="13">
        <v>4209701800</v>
      </c>
      <c r="D127" s="30" t="s">
        <v>245</v>
      </c>
      <c r="E127" s="6" t="s">
        <v>89</v>
      </c>
      <c r="F127" s="45">
        <v>19.17</v>
      </c>
      <c r="G127" s="40">
        <v>420</v>
      </c>
      <c r="H127" s="48">
        <v>0</v>
      </c>
      <c r="I127" s="6">
        <v>0</v>
      </c>
      <c r="J127" s="8">
        <f>L127*1.3</f>
        <v>8.528</v>
      </c>
      <c r="K127" s="24" t="s">
        <v>115</v>
      </c>
      <c r="L127" s="3">
        <v>6.56</v>
      </c>
      <c r="M127" s="1">
        <v>9.84</v>
      </c>
      <c r="N127" s="8" t="str">
        <f>CONCATENATE(ROUND(7.19*1.8,2)," ",K127)</f>
        <v>12.94 Per Visit </v>
      </c>
      <c r="O127" s="8" t="str">
        <f t="shared" si="187"/>
        <v>6.56 Per Visit </v>
      </c>
      <c r="P127" s="7" t="s">
        <v>123</v>
      </c>
      <c r="Q127" s="3" t="str">
        <f t="shared" si="188"/>
        <v>6.56 Per Visit </v>
      </c>
      <c r="R127" s="3" t="str">
        <f t="shared" si="189"/>
        <v>7.22 Per Visit </v>
      </c>
      <c r="S127" s="3" t="str">
        <f t="shared" si="190"/>
        <v>6.56 Per Visit </v>
      </c>
      <c r="T127" s="4" t="s">
        <v>388</v>
      </c>
      <c r="U127" s="4" t="s">
        <v>389</v>
      </c>
      <c r="V127" s="3" t="str">
        <f t="shared" si="191"/>
        <v>6.56 Per Visit </v>
      </c>
      <c r="W127" s="3" t="str">
        <f t="shared" si="192"/>
        <v>6.56 Per Visit </v>
      </c>
      <c r="X127" s="3" t="str">
        <f t="shared" si="193"/>
        <v>6.56 Per Visit </v>
      </c>
      <c r="Y127" s="4" t="s">
        <v>392</v>
      </c>
      <c r="Z127" s="3" t="str">
        <f t="shared" si="194"/>
        <v>6.23 Per Visit </v>
      </c>
      <c r="AA127" s="3" t="str">
        <f t="shared" si="195"/>
        <v>6.23 Per Visit </v>
      </c>
      <c r="AB127" s="3" t="str">
        <f t="shared" si="196"/>
        <v>6.56 Per Visit </v>
      </c>
      <c r="AC127" s="3" t="str">
        <f t="shared" si="197"/>
        <v>6.89 Per Visit </v>
      </c>
      <c r="AD127" s="3" t="str">
        <f t="shared" si="198"/>
        <v>6.56 Per Visit </v>
      </c>
      <c r="AE127" s="3" t="str">
        <f t="shared" si="199"/>
        <v>6.56 Per Visit </v>
      </c>
      <c r="AF127" s="3" t="str">
        <f t="shared" si="200"/>
        <v>6.04 Per Visit </v>
      </c>
      <c r="AG127" s="3">
        <f aca="true" t="shared" si="213" ref="AG127:AG158">F127*0.7</f>
        <v>13.419</v>
      </c>
      <c r="AH127" s="4" t="s">
        <v>111</v>
      </c>
      <c r="AI127" s="4" t="s">
        <v>111</v>
      </c>
      <c r="AJ127" s="4" t="s">
        <v>363</v>
      </c>
      <c r="AK127" s="3" t="str">
        <f t="shared" si="201"/>
        <v>6.56 Per Visit </v>
      </c>
      <c r="AL127" s="3" t="str">
        <f t="shared" si="202"/>
        <v>6.56 Per Visit </v>
      </c>
      <c r="AM127" s="4" t="s">
        <v>124</v>
      </c>
      <c r="AN127" s="4" t="s">
        <v>124</v>
      </c>
      <c r="AO127" s="4" t="s">
        <v>118</v>
      </c>
      <c r="AP127" s="4" t="s">
        <v>119</v>
      </c>
      <c r="AQ127" s="7" t="s">
        <v>83</v>
      </c>
      <c r="AR127" s="2" t="s">
        <v>282</v>
      </c>
      <c r="AS127" s="2" t="s">
        <v>282</v>
      </c>
      <c r="AT127" s="4" t="s">
        <v>126</v>
      </c>
      <c r="AU127" s="3" t="str">
        <f>CONCATENATE(ROUND(M127*1.1,2)," ",K127)</f>
        <v>10.82 Per Visit </v>
      </c>
      <c r="AV127" s="3" t="str">
        <f t="shared" si="204"/>
        <v>6.56 Per Visit </v>
      </c>
      <c r="AW127" s="3" t="str">
        <f t="shared" si="205"/>
        <v>6.23 Per Visit </v>
      </c>
      <c r="AX127" s="3" t="str">
        <f t="shared" si="206"/>
        <v>5.77 Per Visit </v>
      </c>
      <c r="AY127" s="3" t="s">
        <v>125</v>
      </c>
      <c r="AZ127" s="4" t="s">
        <v>400</v>
      </c>
      <c r="BA127" s="4" t="s">
        <v>126</v>
      </c>
      <c r="BB127" s="8">
        <v>0</v>
      </c>
      <c r="BC127" s="8">
        <v>0</v>
      </c>
      <c r="BD127" s="8">
        <v>0</v>
      </c>
      <c r="BE127" s="4" t="s">
        <v>112</v>
      </c>
      <c r="BF127" s="3" t="str">
        <f t="shared" si="207"/>
        <v>6.56 Per Visit </v>
      </c>
      <c r="BG127" s="8" t="str">
        <f t="shared" si="208"/>
        <v>6.23 Per Visit </v>
      </c>
      <c r="BH127" s="4" t="s">
        <v>83</v>
      </c>
      <c r="BI127" s="4" t="s">
        <v>83</v>
      </c>
      <c r="BJ127" s="3" t="str">
        <f t="shared" si="209"/>
        <v>6.23 Per Visit </v>
      </c>
      <c r="BK127" s="3" t="str">
        <f t="shared" si="210"/>
        <v>6.56 Per Visit </v>
      </c>
      <c r="BL127" s="4" t="s">
        <v>391</v>
      </c>
      <c r="BM127" s="7" t="s">
        <v>126</v>
      </c>
      <c r="BN127" s="3" t="str">
        <f>AX127</f>
        <v>5.77 Per Visit </v>
      </c>
      <c r="BO127" s="3" t="s">
        <v>416</v>
      </c>
    </row>
    <row r="128" spans="1:67" ht="19.5" customHeight="1">
      <c r="A128" s="10">
        <f t="shared" si="137"/>
        <v>127</v>
      </c>
      <c r="B128" s="10">
        <v>97542</v>
      </c>
      <c r="C128" s="10">
        <v>4209754200</v>
      </c>
      <c r="D128" s="30" t="s">
        <v>246</v>
      </c>
      <c r="E128" s="6" t="s">
        <v>89</v>
      </c>
      <c r="F128" s="45">
        <v>107.16</v>
      </c>
      <c r="G128" s="40">
        <v>420</v>
      </c>
      <c r="H128" s="48">
        <v>0</v>
      </c>
      <c r="I128" s="6">
        <v>0</v>
      </c>
      <c r="J128" s="8">
        <v>225</v>
      </c>
      <c r="K128" s="24" t="s">
        <v>113</v>
      </c>
      <c r="L128" s="3">
        <v>36.12</v>
      </c>
      <c r="M128" s="14">
        <v>0</v>
      </c>
      <c r="N128" s="8" t="str">
        <f>CONCATENATE(ROUND(20.72*1.8,2)," ",K128)</f>
        <v>37.3 Per 15 minutes</v>
      </c>
      <c r="O128" s="8" t="str">
        <f t="shared" si="187"/>
        <v>36.12 Per 15 minutes</v>
      </c>
      <c r="P128" s="7" t="s">
        <v>123</v>
      </c>
      <c r="Q128" s="3" t="str">
        <f t="shared" si="188"/>
        <v>36.12 Per 15 minutes</v>
      </c>
      <c r="R128" s="3" t="str">
        <f t="shared" si="189"/>
        <v>39.73 Per 15 minutes</v>
      </c>
      <c r="S128" s="3" t="str">
        <f t="shared" si="190"/>
        <v>36.12 Per 15 minutes</v>
      </c>
      <c r="T128" s="4" t="s">
        <v>388</v>
      </c>
      <c r="U128" s="4" t="s">
        <v>389</v>
      </c>
      <c r="V128" s="3" t="str">
        <f t="shared" si="191"/>
        <v>36.12 Per 15 minutes</v>
      </c>
      <c r="W128" s="3" t="str">
        <f t="shared" si="192"/>
        <v>36.12 Per 15 minutes</v>
      </c>
      <c r="X128" s="3" t="str">
        <f t="shared" si="193"/>
        <v>36.12 Per 15 minutes</v>
      </c>
      <c r="Y128" s="4" t="s">
        <v>392</v>
      </c>
      <c r="Z128" s="3" t="str">
        <f t="shared" si="194"/>
        <v>34.31 Per 15 minutes</v>
      </c>
      <c r="AA128" s="3" t="str">
        <f t="shared" si="195"/>
        <v>34.31 Per 15 minutes</v>
      </c>
      <c r="AB128" s="3" t="str">
        <f t="shared" si="196"/>
        <v>36.12 Per 15 minutes</v>
      </c>
      <c r="AC128" s="3" t="str">
        <f t="shared" si="197"/>
        <v>37.93 Per 15 minutes</v>
      </c>
      <c r="AD128" s="3" t="str">
        <f t="shared" si="198"/>
        <v>36.12 Per 15 minutes</v>
      </c>
      <c r="AE128" s="3" t="str">
        <f t="shared" si="199"/>
        <v>36.12 Per 15 minutes</v>
      </c>
      <c r="AF128" s="3" t="str">
        <f t="shared" si="200"/>
        <v>33.23 Per 15 minutes</v>
      </c>
      <c r="AG128" s="3">
        <f t="shared" si="213"/>
        <v>75.01199999999999</v>
      </c>
      <c r="AH128" s="4" t="s">
        <v>111</v>
      </c>
      <c r="AI128" s="4" t="s">
        <v>111</v>
      </c>
      <c r="AJ128" s="4" t="s">
        <v>363</v>
      </c>
      <c r="AK128" s="3" t="str">
        <f t="shared" si="201"/>
        <v>36.12 Per 15 minutes</v>
      </c>
      <c r="AL128" s="3" t="str">
        <f t="shared" si="202"/>
        <v>36.12 Per 15 minutes</v>
      </c>
      <c r="AM128" s="4" t="s">
        <v>124</v>
      </c>
      <c r="AN128" s="4" t="s">
        <v>124</v>
      </c>
      <c r="AO128" s="4" t="s">
        <v>118</v>
      </c>
      <c r="AP128" s="4" t="s">
        <v>119</v>
      </c>
      <c r="AQ128" s="7" t="s">
        <v>83</v>
      </c>
      <c r="AR128" s="2" t="s">
        <v>282</v>
      </c>
      <c r="AS128" s="2" t="s">
        <v>282</v>
      </c>
      <c r="AT128" s="4" t="s">
        <v>126</v>
      </c>
      <c r="AU128" s="3">
        <f>M128</f>
        <v>0</v>
      </c>
      <c r="AV128" s="3" t="str">
        <f t="shared" si="204"/>
        <v>36.12 Per 15 minutes</v>
      </c>
      <c r="AW128" s="3" t="str">
        <f t="shared" si="205"/>
        <v>34.31 Per 15 minutes</v>
      </c>
      <c r="AX128" s="3" t="str">
        <f t="shared" si="206"/>
        <v>31.79 Per 15 minutes</v>
      </c>
      <c r="AY128" s="3" t="s">
        <v>125</v>
      </c>
      <c r="AZ128" s="4" t="s">
        <v>400</v>
      </c>
      <c r="BA128" s="4" t="s">
        <v>126</v>
      </c>
      <c r="BB128" s="8">
        <v>0</v>
      </c>
      <c r="BC128" s="8">
        <v>0</v>
      </c>
      <c r="BD128" s="8">
        <v>0</v>
      </c>
      <c r="BE128" s="4" t="s">
        <v>112</v>
      </c>
      <c r="BF128" s="3" t="str">
        <f t="shared" si="207"/>
        <v>36.12 Per 15 minutes</v>
      </c>
      <c r="BG128" s="8" t="str">
        <f t="shared" si="208"/>
        <v>34.31 Per 15 minutes</v>
      </c>
      <c r="BH128" s="4" t="s">
        <v>83</v>
      </c>
      <c r="BI128" s="4" t="s">
        <v>83</v>
      </c>
      <c r="BJ128" s="3" t="str">
        <f t="shared" si="209"/>
        <v>34.31 Per 15 minutes</v>
      </c>
      <c r="BK128" s="3" t="str">
        <f t="shared" si="210"/>
        <v>36.12 Per 15 minutes</v>
      </c>
      <c r="BL128" s="4" t="s">
        <v>391</v>
      </c>
      <c r="BM128" s="7" t="s">
        <v>126</v>
      </c>
      <c r="BN128" s="4" t="s">
        <v>365</v>
      </c>
      <c r="BO128" s="3" t="s">
        <v>416</v>
      </c>
    </row>
    <row r="129" spans="1:67" ht="19.5" customHeight="1">
      <c r="A129" s="10">
        <f t="shared" si="137"/>
        <v>128</v>
      </c>
      <c r="B129" s="13">
        <v>97035</v>
      </c>
      <c r="C129" s="6">
        <v>4209703500</v>
      </c>
      <c r="D129" s="30" t="s">
        <v>244</v>
      </c>
      <c r="E129" s="6" t="s">
        <v>89</v>
      </c>
      <c r="F129" s="45">
        <v>48.33</v>
      </c>
      <c r="G129" s="40">
        <v>420</v>
      </c>
      <c r="H129" s="48">
        <v>0</v>
      </c>
      <c r="I129" s="6">
        <v>0</v>
      </c>
      <c r="J129" s="8">
        <f>L129*1.3</f>
        <v>20.982000000000003</v>
      </c>
      <c r="K129" s="24" t="s">
        <v>115</v>
      </c>
      <c r="L129" s="3">
        <v>16.14</v>
      </c>
      <c r="M129" s="1">
        <v>7.43</v>
      </c>
      <c r="N129" s="8" t="str">
        <f>CONCATENATE(ROUND(8.48*1.8,2)," ",K129)</f>
        <v>15.26 Per Visit </v>
      </c>
      <c r="O129" s="8" t="str">
        <f t="shared" si="187"/>
        <v>16.14 Per Visit </v>
      </c>
      <c r="P129" s="7" t="s">
        <v>123</v>
      </c>
      <c r="Q129" s="3" t="str">
        <f t="shared" si="188"/>
        <v>16.14 Per Visit </v>
      </c>
      <c r="R129" s="3" t="str">
        <f t="shared" si="189"/>
        <v>17.75 Per Visit </v>
      </c>
      <c r="S129" s="3" t="str">
        <f t="shared" si="190"/>
        <v>16.14 Per Visit </v>
      </c>
      <c r="T129" s="4" t="s">
        <v>388</v>
      </c>
      <c r="U129" s="4" t="s">
        <v>389</v>
      </c>
      <c r="V129" s="3" t="str">
        <f t="shared" si="191"/>
        <v>16.14 Per Visit </v>
      </c>
      <c r="W129" s="3" t="str">
        <f t="shared" si="192"/>
        <v>16.14 Per Visit </v>
      </c>
      <c r="X129" s="3" t="str">
        <f t="shared" si="193"/>
        <v>16.14 Per Visit </v>
      </c>
      <c r="Y129" s="4" t="s">
        <v>392</v>
      </c>
      <c r="Z129" s="3" t="str">
        <f t="shared" si="194"/>
        <v>15.33 Per Visit </v>
      </c>
      <c r="AA129" s="3" t="str">
        <f t="shared" si="195"/>
        <v>15.33 Per Visit </v>
      </c>
      <c r="AB129" s="3" t="str">
        <f t="shared" si="196"/>
        <v>16.14 Per Visit </v>
      </c>
      <c r="AC129" s="3" t="str">
        <f t="shared" si="197"/>
        <v>16.95 Per Visit </v>
      </c>
      <c r="AD129" s="3" t="str">
        <f t="shared" si="198"/>
        <v>16.14 Per Visit </v>
      </c>
      <c r="AE129" s="3" t="str">
        <f t="shared" si="199"/>
        <v>16.14 Per Visit </v>
      </c>
      <c r="AF129" s="3" t="str">
        <f t="shared" si="200"/>
        <v>14.85 Per Visit </v>
      </c>
      <c r="AG129" s="3">
        <f t="shared" si="213"/>
        <v>33.830999999999996</v>
      </c>
      <c r="AH129" s="4" t="s">
        <v>111</v>
      </c>
      <c r="AI129" s="4" t="s">
        <v>111</v>
      </c>
      <c r="AJ129" s="4" t="s">
        <v>363</v>
      </c>
      <c r="AK129" s="3" t="str">
        <f t="shared" si="201"/>
        <v>16.14 Per Visit </v>
      </c>
      <c r="AL129" s="3" t="str">
        <f t="shared" si="202"/>
        <v>16.14 Per Visit </v>
      </c>
      <c r="AM129" s="4" t="s">
        <v>124</v>
      </c>
      <c r="AN129" s="4" t="s">
        <v>124</v>
      </c>
      <c r="AO129" s="4" t="s">
        <v>118</v>
      </c>
      <c r="AP129" s="4" t="s">
        <v>119</v>
      </c>
      <c r="AQ129" s="7" t="s">
        <v>83</v>
      </c>
      <c r="AR129" s="2" t="s">
        <v>282</v>
      </c>
      <c r="AS129" s="2" t="s">
        <v>282</v>
      </c>
      <c r="AT129" s="4" t="s">
        <v>126</v>
      </c>
      <c r="AU129" s="3" t="str">
        <f>CONCATENATE(ROUND(M129*1.1,2)," ",K129)</f>
        <v>8.17 Per Visit </v>
      </c>
      <c r="AV129" s="3" t="str">
        <f t="shared" si="204"/>
        <v>16.14 Per Visit </v>
      </c>
      <c r="AW129" s="3" t="str">
        <f t="shared" si="205"/>
        <v>15.33 Per Visit </v>
      </c>
      <c r="AX129" s="3" t="str">
        <f t="shared" si="206"/>
        <v>14.2 Per Visit </v>
      </c>
      <c r="AY129" s="3" t="s">
        <v>125</v>
      </c>
      <c r="AZ129" s="4" t="s">
        <v>400</v>
      </c>
      <c r="BA129" s="4" t="s">
        <v>126</v>
      </c>
      <c r="BB129" s="8">
        <v>0</v>
      </c>
      <c r="BC129" s="8">
        <v>0</v>
      </c>
      <c r="BD129" s="8">
        <v>0</v>
      </c>
      <c r="BE129" s="4" t="s">
        <v>112</v>
      </c>
      <c r="BF129" s="3" t="str">
        <f t="shared" si="207"/>
        <v>16.14 Per Visit </v>
      </c>
      <c r="BG129" s="8" t="str">
        <f t="shared" si="208"/>
        <v>15.33 Per Visit </v>
      </c>
      <c r="BH129" s="4" t="s">
        <v>83</v>
      </c>
      <c r="BI129" s="4" t="s">
        <v>83</v>
      </c>
      <c r="BJ129" s="3" t="str">
        <f t="shared" si="209"/>
        <v>15.33 Per Visit </v>
      </c>
      <c r="BK129" s="3" t="str">
        <f t="shared" si="210"/>
        <v>16.14 Per Visit </v>
      </c>
      <c r="BL129" s="4" t="s">
        <v>391</v>
      </c>
      <c r="BM129" s="7" t="s">
        <v>126</v>
      </c>
      <c r="BN129" s="3" t="str">
        <f>AU129</f>
        <v>8.17 Per Visit </v>
      </c>
      <c r="BO129" s="3" t="s">
        <v>416</v>
      </c>
    </row>
    <row r="130" spans="1:67" ht="19.5" customHeight="1">
      <c r="A130" s="10">
        <f t="shared" si="137"/>
        <v>129</v>
      </c>
      <c r="B130" s="13">
        <v>97166</v>
      </c>
      <c r="C130" s="13">
        <v>4349716600</v>
      </c>
      <c r="D130" s="30" t="s">
        <v>183</v>
      </c>
      <c r="E130" s="6" t="s">
        <v>89</v>
      </c>
      <c r="F130" s="45">
        <v>337.62</v>
      </c>
      <c r="G130" s="40">
        <v>434</v>
      </c>
      <c r="H130" s="48">
        <v>0</v>
      </c>
      <c r="I130" s="6">
        <v>0</v>
      </c>
      <c r="J130" s="8">
        <v>150</v>
      </c>
      <c r="K130" s="24" t="s">
        <v>115</v>
      </c>
      <c r="L130" s="3">
        <v>108.47</v>
      </c>
      <c r="M130" s="14">
        <v>0</v>
      </c>
      <c r="N130" s="8" t="str">
        <f>CONCATENATE(ROUND(67.17*1.8,2)," ",K130)</f>
        <v>120.91 Per Visit </v>
      </c>
      <c r="O130" s="8" t="str">
        <f t="shared" si="187"/>
        <v>108.47 Per Visit </v>
      </c>
      <c r="P130" s="7" t="s">
        <v>123</v>
      </c>
      <c r="Q130" s="3" t="str">
        <f t="shared" si="188"/>
        <v>108.47 Per Visit </v>
      </c>
      <c r="R130" s="3" t="str">
        <f t="shared" si="189"/>
        <v>119.32 Per Visit </v>
      </c>
      <c r="S130" s="3" t="str">
        <f t="shared" si="190"/>
        <v>108.47 Per Visit </v>
      </c>
      <c r="T130" s="4" t="s">
        <v>388</v>
      </c>
      <c r="U130" s="4" t="s">
        <v>389</v>
      </c>
      <c r="V130" s="3" t="str">
        <f t="shared" si="191"/>
        <v>108.47 Per Visit </v>
      </c>
      <c r="W130" s="3" t="str">
        <f t="shared" si="192"/>
        <v>108.47 Per Visit </v>
      </c>
      <c r="X130" s="3" t="str">
        <f t="shared" si="193"/>
        <v>108.47 Per Visit </v>
      </c>
      <c r="Y130" s="4" t="s">
        <v>392</v>
      </c>
      <c r="Z130" s="3" t="str">
        <f t="shared" si="194"/>
        <v>103.05 Per Visit </v>
      </c>
      <c r="AA130" s="3" t="str">
        <f t="shared" si="195"/>
        <v>103.05 Per Visit </v>
      </c>
      <c r="AB130" s="3" t="str">
        <f t="shared" si="196"/>
        <v>108.47 Per Visit </v>
      </c>
      <c r="AC130" s="3" t="str">
        <f t="shared" si="197"/>
        <v>113.89 Per Visit </v>
      </c>
      <c r="AD130" s="3" t="str">
        <f t="shared" si="198"/>
        <v>108.47 Per Visit </v>
      </c>
      <c r="AE130" s="3" t="str">
        <f t="shared" si="199"/>
        <v>108.47 Per Visit </v>
      </c>
      <c r="AF130" s="3" t="str">
        <f t="shared" si="200"/>
        <v>99.79 Per Visit </v>
      </c>
      <c r="AG130" s="3">
        <f t="shared" si="213"/>
        <v>236.33399999999997</v>
      </c>
      <c r="AH130" s="4" t="s">
        <v>111</v>
      </c>
      <c r="AI130" s="4" t="s">
        <v>111</v>
      </c>
      <c r="AJ130" s="4" t="s">
        <v>363</v>
      </c>
      <c r="AK130" s="3" t="str">
        <f t="shared" si="201"/>
        <v>108.47 Per Visit </v>
      </c>
      <c r="AL130" s="3" t="str">
        <f t="shared" si="202"/>
        <v>108.47 Per Visit </v>
      </c>
      <c r="AM130" s="4" t="s">
        <v>124</v>
      </c>
      <c r="AN130" s="4" t="s">
        <v>124</v>
      </c>
      <c r="AO130" s="4" t="s">
        <v>118</v>
      </c>
      <c r="AP130" s="4" t="s">
        <v>119</v>
      </c>
      <c r="AQ130" s="7" t="s">
        <v>83</v>
      </c>
      <c r="AR130" s="2" t="s">
        <v>282</v>
      </c>
      <c r="AS130" s="2" t="s">
        <v>282</v>
      </c>
      <c r="AT130" s="4" t="s">
        <v>126</v>
      </c>
      <c r="AU130" s="2" t="s">
        <v>116</v>
      </c>
      <c r="AV130" s="3" t="str">
        <f t="shared" si="204"/>
        <v>108.47 Per Visit </v>
      </c>
      <c r="AW130" s="3" t="str">
        <f t="shared" si="205"/>
        <v>103.05 Per Visit </v>
      </c>
      <c r="AX130" s="3" t="str">
        <f t="shared" si="206"/>
        <v>95.45 Per Visit </v>
      </c>
      <c r="AY130" s="3" t="s">
        <v>125</v>
      </c>
      <c r="AZ130" s="4" t="s">
        <v>400</v>
      </c>
      <c r="BA130" s="4" t="s">
        <v>126</v>
      </c>
      <c r="BB130" s="8">
        <v>0</v>
      </c>
      <c r="BC130" s="8">
        <v>0</v>
      </c>
      <c r="BD130" s="8">
        <v>0</v>
      </c>
      <c r="BE130" s="4" t="s">
        <v>112</v>
      </c>
      <c r="BF130" s="3" t="str">
        <f t="shared" si="207"/>
        <v>108.47 Per Visit </v>
      </c>
      <c r="BG130" s="8" t="str">
        <f t="shared" si="208"/>
        <v>103.05 Per Visit </v>
      </c>
      <c r="BH130" s="4" t="s">
        <v>83</v>
      </c>
      <c r="BI130" s="4" t="s">
        <v>83</v>
      </c>
      <c r="BJ130" s="3" t="str">
        <f t="shared" si="209"/>
        <v>103.05 Per Visit </v>
      </c>
      <c r="BK130" s="3" t="str">
        <f t="shared" si="210"/>
        <v>108.47 Per Visit </v>
      </c>
      <c r="BL130" s="4" t="s">
        <v>391</v>
      </c>
      <c r="BM130" s="7" t="s">
        <v>126</v>
      </c>
      <c r="BN130" s="3" t="str">
        <f>AX130</f>
        <v>95.45 Per Visit </v>
      </c>
      <c r="BO130" s="3" t="s">
        <v>416</v>
      </c>
    </row>
    <row r="131" spans="1:67" ht="19.5" customHeight="1">
      <c r="A131" s="10">
        <f t="shared" si="137"/>
        <v>130</v>
      </c>
      <c r="B131" s="13">
        <v>92508</v>
      </c>
      <c r="C131" s="6">
        <v>4439250800</v>
      </c>
      <c r="D131" s="33" t="s">
        <v>101</v>
      </c>
      <c r="E131" s="6" t="s">
        <v>89</v>
      </c>
      <c r="F131" s="45">
        <v>80.37</v>
      </c>
      <c r="G131" s="40">
        <v>443</v>
      </c>
      <c r="H131" s="48">
        <v>0</v>
      </c>
      <c r="I131" s="6">
        <v>0</v>
      </c>
      <c r="J131" s="8">
        <f>L131*1.3</f>
        <v>34.684</v>
      </c>
      <c r="K131" s="24" t="s">
        <v>115</v>
      </c>
      <c r="L131" s="3">
        <v>26.68</v>
      </c>
      <c r="M131" s="1">
        <v>20.64</v>
      </c>
      <c r="N131" s="8" t="str">
        <f>CONCATENATE(ROUND(25.35*1.8,2)," ",K131)</f>
        <v>45.63 Per Visit </v>
      </c>
      <c r="O131" s="8" t="str">
        <f t="shared" si="187"/>
        <v>26.68 Per Visit </v>
      </c>
      <c r="P131" s="7" t="s">
        <v>123</v>
      </c>
      <c r="Q131" s="3" t="str">
        <f t="shared" si="188"/>
        <v>26.68 Per Visit </v>
      </c>
      <c r="R131" s="3" t="str">
        <f t="shared" si="189"/>
        <v>29.35 Per Visit </v>
      </c>
      <c r="S131" s="3" t="str">
        <f t="shared" si="190"/>
        <v>26.68 Per Visit </v>
      </c>
      <c r="T131" s="4" t="s">
        <v>388</v>
      </c>
      <c r="U131" s="4" t="s">
        <v>389</v>
      </c>
      <c r="V131" s="3" t="str">
        <f t="shared" si="191"/>
        <v>26.68 Per Visit </v>
      </c>
      <c r="W131" s="3" t="str">
        <f t="shared" si="192"/>
        <v>26.68 Per Visit </v>
      </c>
      <c r="X131" s="3" t="str">
        <f t="shared" si="193"/>
        <v>26.68 Per Visit </v>
      </c>
      <c r="Y131" s="4" t="s">
        <v>392</v>
      </c>
      <c r="Z131" s="3" t="str">
        <f t="shared" si="194"/>
        <v>25.35 Per Visit </v>
      </c>
      <c r="AA131" s="3" t="str">
        <f t="shared" si="195"/>
        <v>25.35 Per Visit </v>
      </c>
      <c r="AB131" s="3" t="str">
        <f t="shared" si="196"/>
        <v>26.68 Per Visit </v>
      </c>
      <c r="AC131" s="3" t="str">
        <f t="shared" si="197"/>
        <v>28.01 Per Visit </v>
      </c>
      <c r="AD131" s="3" t="str">
        <f t="shared" si="198"/>
        <v>26.68 Per Visit </v>
      </c>
      <c r="AE131" s="3" t="str">
        <f t="shared" si="199"/>
        <v>26.68 Per Visit </v>
      </c>
      <c r="AF131" s="3" t="str">
        <f t="shared" si="200"/>
        <v>24.55 Per Visit </v>
      </c>
      <c r="AG131" s="3">
        <f t="shared" si="213"/>
        <v>56.259</v>
      </c>
      <c r="AH131" s="4" t="s">
        <v>111</v>
      </c>
      <c r="AI131" s="4" t="s">
        <v>111</v>
      </c>
      <c r="AJ131" s="4" t="s">
        <v>363</v>
      </c>
      <c r="AK131" s="3" t="str">
        <f t="shared" si="201"/>
        <v>26.68 Per Visit </v>
      </c>
      <c r="AL131" s="3" t="str">
        <f t="shared" si="202"/>
        <v>26.68 Per Visit </v>
      </c>
      <c r="AM131" s="4" t="s">
        <v>124</v>
      </c>
      <c r="AN131" s="4" t="s">
        <v>124</v>
      </c>
      <c r="AO131" s="4" t="s">
        <v>118</v>
      </c>
      <c r="AP131" s="4" t="s">
        <v>119</v>
      </c>
      <c r="AQ131" s="7" t="s">
        <v>83</v>
      </c>
      <c r="AR131" s="2" t="s">
        <v>282</v>
      </c>
      <c r="AS131" s="2" t="s">
        <v>282</v>
      </c>
      <c r="AT131" s="4" t="s">
        <v>126</v>
      </c>
      <c r="AU131" s="3" t="str">
        <f>CONCATENATE(ROUND(M131*1.1,2)," ",K131)</f>
        <v>22.7 Per Visit </v>
      </c>
      <c r="AV131" s="3" t="str">
        <f t="shared" si="204"/>
        <v>26.68 Per Visit </v>
      </c>
      <c r="AW131" s="3" t="str">
        <f t="shared" si="205"/>
        <v>25.35 Per Visit </v>
      </c>
      <c r="AX131" s="3" t="str">
        <f t="shared" si="206"/>
        <v>23.48 Per Visit </v>
      </c>
      <c r="AY131" s="3" t="s">
        <v>125</v>
      </c>
      <c r="AZ131" s="4" t="s">
        <v>400</v>
      </c>
      <c r="BA131" s="4" t="s">
        <v>126</v>
      </c>
      <c r="BB131" s="8">
        <v>0</v>
      </c>
      <c r="BC131" s="8">
        <v>0</v>
      </c>
      <c r="BD131" s="8">
        <v>0</v>
      </c>
      <c r="BE131" s="4" t="s">
        <v>112</v>
      </c>
      <c r="BF131" s="3" t="str">
        <f t="shared" si="207"/>
        <v>26.68 Per Visit </v>
      </c>
      <c r="BG131" s="8" t="str">
        <f t="shared" si="208"/>
        <v>25.35 Per Visit </v>
      </c>
      <c r="BH131" s="4" t="s">
        <v>83</v>
      </c>
      <c r="BI131" s="4" t="s">
        <v>83</v>
      </c>
      <c r="BJ131" s="3" t="str">
        <f t="shared" si="209"/>
        <v>25.35 Per Visit </v>
      </c>
      <c r="BK131" s="3" t="str">
        <f t="shared" si="210"/>
        <v>26.68 Per Visit </v>
      </c>
      <c r="BL131" s="4" t="s">
        <v>391</v>
      </c>
      <c r="BM131" s="7" t="s">
        <v>126</v>
      </c>
      <c r="BN131" s="3" t="str">
        <f>AX131</f>
        <v>23.48 Per Visit </v>
      </c>
      <c r="BO131" s="3" t="s">
        <v>416</v>
      </c>
    </row>
    <row r="132" spans="1:67" ht="19.5" customHeight="1">
      <c r="A132" s="10">
        <f t="shared" si="137"/>
        <v>131</v>
      </c>
      <c r="B132" s="11">
        <v>92523</v>
      </c>
      <c r="C132" s="6">
        <v>4449252300</v>
      </c>
      <c r="D132" s="30" t="s">
        <v>185</v>
      </c>
      <c r="E132" s="6" t="s">
        <v>89</v>
      </c>
      <c r="F132" s="45">
        <v>758.64</v>
      </c>
      <c r="G132" s="11">
        <v>444</v>
      </c>
      <c r="H132" s="48">
        <v>0</v>
      </c>
      <c r="I132" s="6">
        <v>0</v>
      </c>
      <c r="J132" s="8">
        <v>150</v>
      </c>
      <c r="K132" s="24" t="s">
        <v>115</v>
      </c>
      <c r="L132" s="3">
        <v>257.13</v>
      </c>
      <c r="M132" s="1">
        <v>130.58</v>
      </c>
      <c r="N132" s="8" t="str">
        <f>CONCATENATE(ROUND(174.09*1.8,2)," ",K132)</f>
        <v>313.36 Per Visit </v>
      </c>
      <c r="O132" s="8" t="str">
        <f t="shared" si="187"/>
        <v>257.13 Per Visit </v>
      </c>
      <c r="P132" s="7" t="s">
        <v>123</v>
      </c>
      <c r="Q132" s="3" t="str">
        <f t="shared" si="188"/>
        <v>257.13 Per Visit </v>
      </c>
      <c r="R132" s="3" t="str">
        <f t="shared" si="189"/>
        <v>282.84 Per Visit </v>
      </c>
      <c r="S132" s="3" t="str">
        <f t="shared" si="190"/>
        <v>257.13 Per Visit </v>
      </c>
      <c r="T132" s="4" t="s">
        <v>388</v>
      </c>
      <c r="U132" s="4" t="s">
        <v>389</v>
      </c>
      <c r="V132" s="3" t="str">
        <f t="shared" si="191"/>
        <v>257.13 Per Visit </v>
      </c>
      <c r="W132" s="3" t="str">
        <f t="shared" si="192"/>
        <v>257.13 Per Visit </v>
      </c>
      <c r="X132" s="3" t="str">
        <f t="shared" si="193"/>
        <v>257.13 Per Visit </v>
      </c>
      <c r="Y132" s="4" t="s">
        <v>392</v>
      </c>
      <c r="Z132" s="3" t="str">
        <f t="shared" si="194"/>
        <v>244.27 Per Visit </v>
      </c>
      <c r="AA132" s="3" t="str">
        <f t="shared" si="195"/>
        <v>244.27 Per Visit </v>
      </c>
      <c r="AB132" s="3" t="str">
        <f t="shared" si="196"/>
        <v>257.13 Per Visit </v>
      </c>
      <c r="AC132" s="3" t="str">
        <f t="shared" si="197"/>
        <v>269.99 Per Visit </v>
      </c>
      <c r="AD132" s="3" t="str">
        <f t="shared" si="198"/>
        <v>257.13 Per Visit </v>
      </c>
      <c r="AE132" s="3" t="str">
        <f t="shared" si="199"/>
        <v>257.13 Per Visit </v>
      </c>
      <c r="AF132" s="3" t="str">
        <f t="shared" si="200"/>
        <v>236.56 Per Visit </v>
      </c>
      <c r="AG132" s="3">
        <f t="shared" si="213"/>
        <v>531.048</v>
      </c>
      <c r="AH132" s="4" t="s">
        <v>111</v>
      </c>
      <c r="AI132" s="4" t="s">
        <v>111</v>
      </c>
      <c r="AJ132" s="4" t="s">
        <v>363</v>
      </c>
      <c r="AK132" s="3" t="str">
        <f t="shared" si="201"/>
        <v>257.13 Per Visit </v>
      </c>
      <c r="AL132" s="3" t="str">
        <f t="shared" si="202"/>
        <v>257.13 Per Visit </v>
      </c>
      <c r="AM132" s="4" t="s">
        <v>124</v>
      </c>
      <c r="AN132" s="4" t="s">
        <v>124</v>
      </c>
      <c r="AO132" s="4" t="s">
        <v>118</v>
      </c>
      <c r="AP132" s="4" t="s">
        <v>119</v>
      </c>
      <c r="AQ132" s="7" t="s">
        <v>83</v>
      </c>
      <c r="AR132" s="2" t="s">
        <v>282</v>
      </c>
      <c r="AS132" s="2" t="s">
        <v>282</v>
      </c>
      <c r="AT132" s="4" t="s">
        <v>126</v>
      </c>
      <c r="AU132" s="3" t="str">
        <f>CONCATENATE(ROUND(M132*1.1,2)," ",K132)</f>
        <v>143.64 Per Visit </v>
      </c>
      <c r="AV132" s="3" t="str">
        <f t="shared" si="204"/>
        <v>257.13 Per Visit </v>
      </c>
      <c r="AW132" s="3" t="str">
        <f t="shared" si="205"/>
        <v>244.27 Per Visit </v>
      </c>
      <c r="AX132" s="3" t="str">
        <f t="shared" si="206"/>
        <v>226.27 Per Visit </v>
      </c>
      <c r="AY132" s="3" t="s">
        <v>125</v>
      </c>
      <c r="AZ132" s="4" t="s">
        <v>400</v>
      </c>
      <c r="BA132" s="4" t="s">
        <v>126</v>
      </c>
      <c r="BB132" s="8">
        <v>0</v>
      </c>
      <c r="BC132" s="8">
        <v>0</v>
      </c>
      <c r="BD132" s="8">
        <v>0</v>
      </c>
      <c r="BE132" s="4" t="s">
        <v>112</v>
      </c>
      <c r="BF132" s="3" t="str">
        <f t="shared" si="207"/>
        <v>257.13 Per Visit </v>
      </c>
      <c r="BG132" s="8" t="str">
        <f t="shared" si="208"/>
        <v>244.27 Per Visit </v>
      </c>
      <c r="BH132" s="4" t="s">
        <v>83</v>
      </c>
      <c r="BI132" s="4" t="s">
        <v>83</v>
      </c>
      <c r="BJ132" s="3" t="str">
        <f t="shared" si="209"/>
        <v>244.27 Per Visit </v>
      </c>
      <c r="BK132" s="3" t="str">
        <f t="shared" si="210"/>
        <v>257.13 Per Visit </v>
      </c>
      <c r="BL132" s="4" t="s">
        <v>391</v>
      </c>
      <c r="BM132" s="7" t="s">
        <v>126</v>
      </c>
      <c r="BN132" s="3" t="str">
        <f>AU132</f>
        <v>143.64 Per Visit </v>
      </c>
      <c r="BO132" s="3" t="str">
        <f>N132</f>
        <v>313.36 Per Visit </v>
      </c>
    </row>
    <row r="133" spans="1:67" ht="19.5" customHeight="1">
      <c r="A133" s="10">
        <f t="shared" si="137"/>
        <v>132</v>
      </c>
      <c r="B133" s="11">
        <v>97033</v>
      </c>
      <c r="C133" s="6">
        <v>4209703300</v>
      </c>
      <c r="D133" s="33" t="s">
        <v>287</v>
      </c>
      <c r="E133" s="6" t="s">
        <v>89</v>
      </c>
      <c r="F133" s="45">
        <v>66.9</v>
      </c>
      <c r="G133" s="11">
        <v>420</v>
      </c>
      <c r="H133" s="48">
        <v>0</v>
      </c>
      <c r="I133" s="6">
        <v>0</v>
      </c>
      <c r="J133" s="8">
        <f>L133*1.3</f>
        <v>29.757</v>
      </c>
      <c r="K133" s="24" t="s">
        <v>115</v>
      </c>
      <c r="L133" s="3">
        <v>22.89</v>
      </c>
      <c r="M133" s="1">
        <v>9.18</v>
      </c>
      <c r="N133" s="8" t="str">
        <f>CONCATENATE(ROUND(21.21*1.8,2)," ",K133)</f>
        <v>38.18 Per Visit </v>
      </c>
      <c r="O133" s="8" t="str">
        <f t="shared" si="187"/>
        <v>22.89 Per Visit </v>
      </c>
      <c r="P133" s="7" t="s">
        <v>123</v>
      </c>
      <c r="Q133" s="3" t="str">
        <f t="shared" si="188"/>
        <v>22.89 Per Visit </v>
      </c>
      <c r="R133" s="3" t="str">
        <f t="shared" si="189"/>
        <v>25.18 Per Visit </v>
      </c>
      <c r="S133" s="3" t="str">
        <f t="shared" si="190"/>
        <v>22.89 Per Visit </v>
      </c>
      <c r="T133" s="4" t="s">
        <v>388</v>
      </c>
      <c r="U133" s="4" t="s">
        <v>389</v>
      </c>
      <c r="V133" s="3" t="str">
        <f t="shared" si="191"/>
        <v>22.89 Per Visit </v>
      </c>
      <c r="W133" s="3" t="str">
        <f t="shared" si="192"/>
        <v>22.89 Per Visit </v>
      </c>
      <c r="X133" s="3" t="str">
        <f t="shared" si="193"/>
        <v>22.89 Per Visit </v>
      </c>
      <c r="Y133" s="4" t="s">
        <v>392</v>
      </c>
      <c r="Z133" s="3" t="str">
        <f t="shared" si="194"/>
        <v>21.75 Per Visit </v>
      </c>
      <c r="AA133" s="3" t="str">
        <f t="shared" si="195"/>
        <v>21.75 Per Visit </v>
      </c>
      <c r="AB133" s="3" t="str">
        <f t="shared" si="196"/>
        <v>22.89 Per Visit </v>
      </c>
      <c r="AC133" s="3" t="str">
        <f t="shared" si="197"/>
        <v>24.03 Per Visit </v>
      </c>
      <c r="AD133" s="3" t="str">
        <f t="shared" si="198"/>
        <v>22.89 Per Visit </v>
      </c>
      <c r="AE133" s="3" t="str">
        <f t="shared" si="199"/>
        <v>22.89 Per Visit </v>
      </c>
      <c r="AF133" s="3" t="str">
        <f t="shared" si="200"/>
        <v>21.06 Per Visit </v>
      </c>
      <c r="AG133" s="3">
        <f t="shared" si="213"/>
        <v>46.83</v>
      </c>
      <c r="AH133" s="4" t="s">
        <v>111</v>
      </c>
      <c r="AI133" s="4" t="s">
        <v>111</v>
      </c>
      <c r="AJ133" s="4" t="s">
        <v>363</v>
      </c>
      <c r="AK133" s="3" t="str">
        <f t="shared" si="201"/>
        <v>22.89 Per Visit </v>
      </c>
      <c r="AL133" s="3" t="str">
        <f t="shared" si="202"/>
        <v>22.89 Per Visit </v>
      </c>
      <c r="AM133" s="4" t="s">
        <v>124</v>
      </c>
      <c r="AN133" s="4" t="s">
        <v>124</v>
      </c>
      <c r="AO133" s="4" t="s">
        <v>118</v>
      </c>
      <c r="AP133" s="4" t="s">
        <v>119</v>
      </c>
      <c r="AQ133" s="7" t="s">
        <v>83</v>
      </c>
      <c r="AR133" s="2" t="s">
        <v>282</v>
      </c>
      <c r="AS133" s="2" t="s">
        <v>282</v>
      </c>
      <c r="AT133" s="4" t="s">
        <v>126</v>
      </c>
      <c r="AU133" s="3" t="str">
        <f>CONCATENATE(ROUND(M133*1.1,2)," ",K133)</f>
        <v>10.1 Per Visit </v>
      </c>
      <c r="AV133" s="3" t="str">
        <f t="shared" si="204"/>
        <v>22.89 Per Visit </v>
      </c>
      <c r="AW133" s="3" t="str">
        <f t="shared" si="205"/>
        <v>21.75 Per Visit </v>
      </c>
      <c r="AX133" s="3" t="str">
        <f t="shared" si="206"/>
        <v>20.14 Per Visit </v>
      </c>
      <c r="AY133" s="3" t="s">
        <v>125</v>
      </c>
      <c r="AZ133" s="4" t="s">
        <v>400</v>
      </c>
      <c r="BA133" s="4" t="s">
        <v>126</v>
      </c>
      <c r="BB133" s="8">
        <v>0</v>
      </c>
      <c r="BC133" s="8">
        <v>0</v>
      </c>
      <c r="BD133" s="8">
        <v>0</v>
      </c>
      <c r="BE133" s="4" t="s">
        <v>112</v>
      </c>
      <c r="BF133" s="3" t="str">
        <f t="shared" si="207"/>
        <v>22.89 Per Visit </v>
      </c>
      <c r="BG133" s="8" t="str">
        <f t="shared" si="208"/>
        <v>21.75 Per Visit </v>
      </c>
      <c r="BH133" s="4" t="s">
        <v>83</v>
      </c>
      <c r="BI133" s="4" t="s">
        <v>83</v>
      </c>
      <c r="BJ133" s="3" t="str">
        <f t="shared" si="209"/>
        <v>21.75 Per Visit </v>
      </c>
      <c r="BK133" s="3" t="str">
        <f t="shared" si="210"/>
        <v>22.89 Per Visit </v>
      </c>
      <c r="BL133" s="4" t="s">
        <v>391</v>
      </c>
      <c r="BM133" s="7" t="s">
        <v>126</v>
      </c>
      <c r="BN133" s="3" t="str">
        <f>AU133</f>
        <v>10.1 Per Visit </v>
      </c>
      <c r="BO133" s="3" t="s">
        <v>416</v>
      </c>
    </row>
    <row r="134" spans="1:67" ht="19.5" customHeight="1">
      <c r="A134" s="10">
        <f t="shared" si="137"/>
        <v>133</v>
      </c>
      <c r="B134" s="13">
        <v>97167</v>
      </c>
      <c r="C134" s="6">
        <v>4349716700</v>
      </c>
      <c r="D134" s="30" t="s">
        <v>186</v>
      </c>
      <c r="E134" s="6" t="s">
        <v>89</v>
      </c>
      <c r="F134" s="45">
        <v>337.62</v>
      </c>
      <c r="G134" s="40">
        <v>434</v>
      </c>
      <c r="H134" s="48">
        <v>0</v>
      </c>
      <c r="I134" s="6">
        <v>0</v>
      </c>
      <c r="J134" s="8">
        <v>150</v>
      </c>
      <c r="K134" s="24" t="s">
        <v>115</v>
      </c>
      <c r="L134" s="3">
        <v>108.47</v>
      </c>
      <c r="M134" s="14">
        <v>0</v>
      </c>
      <c r="N134" s="8" t="str">
        <f>CONCATENATE(ROUND(67.17*1.8,2)," ",K134)</f>
        <v>120.91 Per Visit </v>
      </c>
      <c r="O134" s="8" t="str">
        <f t="shared" si="187"/>
        <v>108.47 Per Visit </v>
      </c>
      <c r="P134" s="7" t="s">
        <v>123</v>
      </c>
      <c r="Q134" s="3" t="str">
        <f t="shared" si="188"/>
        <v>108.47 Per Visit </v>
      </c>
      <c r="R134" s="3" t="str">
        <f t="shared" si="189"/>
        <v>119.32 Per Visit </v>
      </c>
      <c r="S134" s="3" t="str">
        <f t="shared" si="190"/>
        <v>108.47 Per Visit </v>
      </c>
      <c r="T134" s="4" t="s">
        <v>388</v>
      </c>
      <c r="U134" s="4" t="s">
        <v>389</v>
      </c>
      <c r="V134" s="3" t="str">
        <f t="shared" si="191"/>
        <v>108.47 Per Visit </v>
      </c>
      <c r="W134" s="3" t="str">
        <f t="shared" si="192"/>
        <v>108.47 Per Visit </v>
      </c>
      <c r="X134" s="3" t="str">
        <f t="shared" si="193"/>
        <v>108.47 Per Visit </v>
      </c>
      <c r="Y134" s="4" t="s">
        <v>392</v>
      </c>
      <c r="Z134" s="3" t="str">
        <f t="shared" si="194"/>
        <v>103.05 Per Visit </v>
      </c>
      <c r="AA134" s="3" t="str">
        <f t="shared" si="195"/>
        <v>103.05 Per Visit </v>
      </c>
      <c r="AB134" s="3" t="str">
        <f t="shared" si="196"/>
        <v>108.47 Per Visit </v>
      </c>
      <c r="AC134" s="3" t="str">
        <f t="shared" si="197"/>
        <v>113.89 Per Visit </v>
      </c>
      <c r="AD134" s="3" t="str">
        <f t="shared" si="198"/>
        <v>108.47 Per Visit </v>
      </c>
      <c r="AE134" s="3" t="str">
        <f t="shared" si="199"/>
        <v>108.47 Per Visit </v>
      </c>
      <c r="AF134" s="3" t="str">
        <f t="shared" si="200"/>
        <v>99.79 Per Visit </v>
      </c>
      <c r="AG134" s="3">
        <f t="shared" si="213"/>
        <v>236.33399999999997</v>
      </c>
      <c r="AH134" s="4" t="s">
        <v>111</v>
      </c>
      <c r="AI134" s="4" t="s">
        <v>111</v>
      </c>
      <c r="AJ134" s="4" t="s">
        <v>363</v>
      </c>
      <c r="AK134" s="3" t="str">
        <f t="shared" si="201"/>
        <v>108.47 Per Visit </v>
      </c>
      <c r="AL134" s="3" t="str">
        <f t="shared" si="202"/>
        <v>108.47 Per Visit </v>
      </c>
      <c r="AM134" s="4" t="s">
        <v>124</v>
      </c>
      <c r="AN134" s="4" t="s">
        <v>124</v>
      </c>
      <c r="AO134" s="4" t="s">
        <v>118</v>
      </c>
      <c r="AP134" s="4" t="s">
        <v>119</v>
      </c>
      <c r="AQ134" s="7" t="s">
        <v>83</v>
      </c>
      <c r="AR134" s="2" t="s">
        <v>282</v>
      </c>
      <c r="AS134" s="2" t="s">
        <v>282</v>
      </c>
      <c r="AT134" s="4" t="s">
        <v>126</v>
      </c>
      <c r="AU134" s="2" t="s">
        <v>116</v>
      </c>
      <c r="AV134" s="3" t="str">
        <f t="shared" si="204"/>
        <v>108.47 Per Visit </v>
      </c>
      <c r="AW134" s="3" t="str">
        <f t="shared" si="205"/>
        <v>103.05 Per Visit </v>
      </c>
      <c r="AX134" s="3" t="str">
        <f t="shared" si="206"/>
        <v>95.45 Per Visit </v>
      </c>
      <c r="AY134" s="3" t="s">
        <v>125</v>
      </c>
      <c r="AZ134" s="4" t="s">
        <v>400</v>
      </c>
      <c r="BA134" s="4" t="s">
        <v>126</v>
      </c>
      <c r="BB134" s="8">
        <v>0</v>
      </c>
      <c r="BC134" s="8">
        <v>0</v>
      </c>
      <c r="BD134" s="8">
        <v>0</v>
      </c>
      <c r="BE134" s="4" t="s">
        <v>112</v>
      </c>
      <c r="BF134" s="3" t="str">
        <f t="shared" si="207"/>
        <v>108.47 Per Visit </v>
      </c>
      <c r="BG134" s="8" t="str">
        <f t="shared" si="208"/>
        <v>103.05 Per Visit </v>
      </c>
      <c r="BH134" s="4" t="s">
        <v>83</v>
      </c>
      <c r="BI134" s="4" t="s">
        <v>83</v>
      </c>
      <c r="BJ134" s="3" t="str">
        <f t="shared" si="209"/>
        <v>103.05 Per Visit </v>
      </c>
      <c r="BK134" s="3" t="str">
        <f t="shared" si="210"/>
        <v>108.47 Per Visit </v>
      </c>
      <c r="BL134" s="4" t="s">
        <v>391</v>
      </c>
      <c r="BM134" s="7" t="s">
        <v>126</v>
      </c>
      <c r="BN134" s="3" t="str">
        <f>AX134</f>
        <v>95.45 Per Visit </v>
      </c>
      <c r="BO134" s="3" t="s">
        <v>416</v>
      </c>
    </row>
    <row r="135" spans="1:67" ht="19.5" customHeight="1">
      <c r="A135" s="10">
        <f t="shared" si="137"/>
        <v>134</v>
      </c>
      <c r="B135" s="13">
        <v>92526</v>
      </c>
      <c r="C135" s="6">
        <v>4409252600</v>
      </c>
      <c r="D135" s="30" t="s">
        <v>243</v>
      </c>
      <c r="E135" s="6" t="s">
        <v>89</v>
      </c>
      <c r="F135" s="45">
        <v>283.83</v>
      </c>
      <c r="G135" s="40">
        <v>440</v>
      </c>
      <c r="H135" s="48">
        <v>0</v>
      </c>
      <c r="I135" s="6">
        <v>0</v>
      </c>
      <c r="J135" s="8">
        <f>L135*1.3</f>
        <v>123.513</v>
      </c>
      <c r="K135" s="24" t="s">
        <v>115</v>
      </c>
      <c r="L135" s="3">
        <v>95.01</v>
      </c>
      <c r="M135" s="1">
        <v>33.82</v>
      </c>
      <c r="N135" s="8" t="str">
        <f>CONCATENATE(ROUND(91.69*1.8,2)," ",K135)</f>
        <v>165.04 Per Visit </v>
      </c>
      <c r="O135" s="8" t="str">
        <f t="shared" si="187"/>
        <v>95.01 Per Visit </v>
      </c>
      <c r="P135" s="7" t="s">
        <v>123</v>
      </c>
      <c r="Q135" s="3" t="str">
        <f t="shared" si="188"/>
        <v>95.01 Per Visit </v>
      </c>
      <c r="R135" s="3" t="str">
        <f t="shared" si="189"/>
        <v>104.51 Per Visit </v>
      </c>
      <c r="S135" s="3" t="str">
        <f t="shared" si="190"/>
        <v>95.01 Per Visit </v>
      </c>
      <c r="T135" s="4" t="s">
        <v>388</v>
      </c>
      <c r="U135" s="4" t="s">
        <v>389</v>
      </c>
      <c r="V135" s="3" t="str">
        <f t="shared" si="191"/>
        <v>95.01 Per Visit </v>
      </c>
      <c r="W135" s="3" t="str">
        <f t="shared" si="192"/>
        <v>95.01 Per Visit </v>
      </c>
      <c r="X135" s="3" t="str">
        <f t="shared" si="193"/>
        <v>95.01 Per Visit </v>
      </c>
      <c r="Y135" s="4" t="s">
        <v>392</v>
      </c>
      <c r="Z135" s="3" t="str">
        <f t="shared" si="194"/>
        <v>90.26 Per Visit </v>
      </c>
      <c r="AA135" s="3" t="str">
        <f t="shared" si="195"/>
        <v>90.26 Per Visit </v>
      </c>
      <c r="AB135" s="3" t="str">
        <f t="shared" si="196"/>
        <v>95.01 Per Visit </v>
      </c>
      <c r="AC135" s="3" t="str">
        <f t="shared" si="197"/>
        <v>99.76 Per Visit </v>
      </c>
      <c r="AD135" s="3" t="str">
        <f t="shared" si="198"/>
        <v>95.01 Per Visit </v>
      </c>
      <c r="AE135" s="3" t="str">
        <f t="shared" si="199"/>
        <v>95.01 Per Visit </v>
      </c>
      <c r="AF135" s="3" t="str">
        <f t="shared" si="200"/>
        <v>87.41 Per Visit </v>
      </c>
      <c r="AG135" s="3">
        <f t="shared" si="213"/>
        <v>198.68099999999998</v>
      </c>
      <c r="AH135" s="4" t="s">
        <v>111</v>
      </c>
      <c r="AI135" s="4" t="s">
        <v>111</v>
      </c>
      <c r="AJ135" s="4" t="s">
        <v>363</v>
      </c>
      <c r="AK135" s="3" t="str">
        <f t="shared" si="201"/>
        <v>95.01 Per Visit </v>
      </c>
      <c r="AL135" s="3" t="str">
        <f t="shared" si="202"/>
        <v>95.01 Per Visit </v>
      </c>
      <c r="AM135" s="4" t="s">
        <v>124</v>
      </c>
      <c r="AN135" s="4" t="s">
        <v>124</v>
      </c>
      <c r="AO135" s="4" t="s">
        <v>118</v>
      </c>
      <c r="AP135" s="4" t="s">
        <v>119</v>
      </c>
      <c r="AQ135" s="7" t="s">
        <v>83</v>
      </c>
      <c r="AR135" s="2" t="s">
        <v>282</v>
      </c>
      <c r="AS135" s="2" t="s">
        <v>282</v>
      </c>
      <c r="AT135" s="4" t="s">
        <v>126</v>
      </c>
      <c r="AU135" s="3" t="str">
        <f>CONCATENATE(ROUND(M135*1.1,2)," ",K135)</f>
        <v>37.2 Per Visit </v>
      </c>
      <c r="AV135" s="3" t="str">
        <f t="shared" si="204"/>
        <v>95.01 Per Visit </v>
      </c>
      <c r="AW135" s="3" t="str">
        <f t="shared" si="205"/>
        <v>90.26 Per Visit </v>
      </c>
      <c r="AX135" s="3" t="str">
        <f t="shared" si="206"/>
        <v>83.61 Per Visit </v>
      </c>
      <c r="AY135" s="3" t="s">
        <v>125</v>
      </c>
      <c r="AZ135" s="4" t="s">
        <v>400</v>
      </c>
      <c r="BA135" s="4" t="s">
        <v>126</v>
      </c>
      <c r="BB135" s="8">
        <v>0</v>
      </c>
      <c r="BC135" s="8">
        <v>0</v>
      </c>
      <c r="BD135" s="8">
        <v>0</v>
      </c>
      <c r="BE135" s="4" t="s">
        <v>112</v>
      </c>
      <c r="BF135" s="3" t="str">
        <f t="shared" si="207"/>
        <v>95.01 Per Visit </v>
      </c>
      <c r="BG135" s="8" t="str">
        <f t="shared" si="208"/>
        <v>90.26 Per Visit </v>
      </c>
      <c r="BH135" s="4" t="s">
        <v>83</v>
      </c>
      <c r="BI135" s="4" t="s">
        <v>83</v>
      </c>
      <c r="BJ135" s="3" t="str">
        <f t="shared" si="209"/>
        <v>90.26 Per Visit </v>
      </c>
      <c r="BK135" s="3" t="str">
        <f t="shared" si="210"/>
        <v>95.01 Per Visit </v>
      </c>
      <c r="BL135" s="4" t="s">
        <v>391</v>
      </c>
      <c r="BM135" s="7" t="s">
        <v>126</v>
      </c>
      <c r="BN135" s="3" t="str">
        <f>AU135</f>
        <v>37.2 Per Visit </v>
      </c>
      <c r="BO135" s="3">
        <f>AG135</f>
        <v>198.68099999999998</v>
      </c>
    </row>
    <row r="136" spans="1:67" ht="19.5" customHeight="1">
      <c r="A136" s="10">
        <f t="shared" si="137"/>
        <v>135</v>
      </c>
      <c r="B136" s="13">
        <v>97165</v>
      </c>
      <c r="C136" s="6">
        <v>4349716500</v>
      </c>
      <c r="D136" s="30" t="s">
        <v>188</v>
      </c>
      <c r="E136" s="6" t="s">
        <v>89</v>
      </c>
      <c r="F136" s="45">
        <v>337.62</v>
      </c>
      <c r="G136" s="40">
        <v>434</v>
      </c>
      <c r="H136" s="48">
        <v>0</v>
      </c>
      <c r="I136" s="6">
        <v>0</v>
      </c>
      <c r="J136" s="8">
        <v>150</v>
      </c>
      <c r="K136" s="24" t="s">
        <v>115</v>
      </c>
      <c r="L136" s="3">
        <v>108.47</v>
      </c>
      <c r="M136" s="14">
        <v>0</v>
      </c>
      <c r="N136" s="8" t="str">
        <f>CONCATENATE(ROUND(67.17*1.8,2)," ",K136)</f>
        <v>120.91 Per Visit </v>
      </c>
      <c r="O136" s="8" t="str">
        <f t="shared" si="187"/>
        <v>108.47 Per Visit </v>
      </c>
      <c r="P136" s="7" t="s">
        <v>123</v>
      </c>
      <c r="Q136" s="3" t="str">
        <f t="shared" si="188"/>
        <v>108.47 Per Visit </v>
      </c>
      <c r="R136" s="3" t="str">
        <f t="shared" si="189"/>
        <v>119.32 Per Visit </v>
      </c>
      <c r="S136" s="3" t="str">
        <f t="shared" si="190"/>
        <v>108.47 Per Visit </v>
      </c>
      <c r="T136" s="4" t="s">
        <v>388</v>
      </c>
      <c r="U136" s="4" t="s">
        <v>389</v>
      </c>
      <c r="V136" s="3" t="str">
        <f t="shared" si="191"/>
        <v>108.47 Per Visit </v>
      </c>
      <c r="W136" s="3" t="str">
        <f t="shared" si="192"/>
        <v>108.47 Per Visit </v>
      </c>
      <c r="X136" s="3" t="str">
        <f t="shared" si="193"/>
        <v>108.47 Per Visit </v>
      </c>
      <c r="Y136" s="4" t="s">
        <v>392</v>
      </c>
      <c r="Z136" s="3" t="str">
        <f t="shared" si="194"/>
        <v>103.05 Per Visit </v>
      </c>
      <c r="AA136" s="3" t="str">
        <f t="shared" si="195"/>
        <v>103.05 Per Visit </v>
      </c>
      <c r="AB136" s="3" t="str">
        <f t="shared" si="196"/>
        <v>108.47 Per Visit </v>
      </c>
      <c r="AC136" s="3" t="str">
        <f t="shared" si="197"/>
        <v>113.89 Per Visit </v>
      </c>
      <c r="AD136" s="3" t="str">
        <f t="shared" si="198"/>
        <v>108.47 Per Visit </v>
      </c>
      <c r="AE136" s="3" t="str">
        <f t="shared" si="199"/>
        <v>108.47 Per Visit </v>
      </c>
      <c r="AF136" s="3" t="str">
        <f t="shared" si="200"/>
        <v>99.79 Per Visit </v>
      </c>
      <c r="AG136" s="3">
        <f t="shared" si="213"/>
        <v>236.33399999999997</v>
      </c>
      <c r="AH136" s="4" t="s">
        <v>111</v>
      </c>
      <c r="AI136" s="4" t="s">
        <v>111</v>
      </c>
      <c r="AJ136" s="4" t="s">
        <v>363</v>
      </c>
      <c r="AK136" s="3" t="str">
        <f t="shared" si="201"/>
        <v>108.47 Per Visit </v>
      </c>
      <c r="AL136" s="3" t="str">
        <f t="shared" si="202"/>
        <v>108.47 Per Visit </v>
      </c>
      <c r="AM136" s="4" t="s">
        <v>124</v>
      </c>
      <c r="AN136" s="4" t="s">
        <v>124</v>
      </c>
      <c r="AO136" s="4" t="s">
        <v>118</v>
      </c>
      <c r="AP136" s="4" t="s">
        <v>119</v>
      </c>
      <c r="AQ136" s="7" t="s">
        <v>83</v>
      </c>
      <c r="AR136" s="2" t="s">
        <v>282</v>
      </c>
      <c r="AS136" s="2" t="s">
        <v>282</v>
      </c>
      <c r="AT136" s="4" t="s">
        <v>126</v>
      </c>
      <c r="AU136" s="2" t="s">
        <v>116</v>
      </c>
      <c r="AV136" s="3" t="str">
        <f t="shared" si="204"/>
        <v>108.47 Per Visit </v>
      </c>
      <c r="AW136" s="3" t="str">
        <f t="shared" si="205"/>
        <v>103.05 Per Visit </v>
      </c>
      <c r="AX136" s="3" t="str">
        <f t="shared" si="206"/>
        <v>95.45 Per Visit </v>
      </c>
      <c r="AY136" s="3" t="s">
        <v>125</v>
      </c>
      <c r="AZ136" s="4" t="s">
        <v>400</v>
      </c>
      <c r="BA136" s="4" t="s">
        <v>126</v>
      </c>
      <c r="BB136" s="8">
        <v>0</v>
      </c>
      <c r="BC136" s="8">
        <v>0</v>
      </c>
      <c r="BD136" s="8">
        <v>0</v>
      </c>
      <c r="BE136" s="4" t="s">
        <v>112</v>
      </c>
      <c r="BF136" s="3" t="str">
        <f t="shared" si="207"/>
        <v>108.47 Per Visit </v>
      </c>
      <c r="BG136" s="8" t="str">
        <f t="shared" si="208"/>
        <v>103.05 Per Visit </v>
      </c>
      <c r="BH136" s="4" t="s">
        <v>83</v>
      </c>
      <c r="BI136" s="4" t="s">
        <v>83</v>
      </c>
      <c r="BJ136" s="3" t="str">
        <f t="shared" si="209"/>
        <v>103.05 Per Visit </v>
      </c>
      <c r="BK136" s="3" t="str">
        <f t="shared" si="210"/>
        <v>108.47 Per Visit </v>
      </c>
      <c r="BL136" s="4" t="s">
        <v>391</v>
      </c>
      <c r="BM136" s="7" t="s">
        <v>126</v>
      </c>
      <c r="BN136" s="3" t="str">
        <f>AX136</f>
        <v>95.45 Per Visit </v>
      </c>
      <c r="BO136" s="3" t="s">
        <v>416</v>
      </c>
    </row>
    <row r="137" spans="1:67" ht="19.5" customHeight="1">
      <c r="A137" s="10">
        <f t="shared" si="137"/>
        <v>136</v>
      </c>
      <c r="B137" s="10">
        <v>95851</v>
      </c>
      <c r="C137" s="6">
        <v>4209585100</v>
      </c>
      <c r="D137" s="30" t="s">
        <v>407</v>
      </c>
      <c r="E137" s="6" t="s">
        <v>89</v>
      </c>
      <c r="F137" s="45">
        <v>73.14</v>
      </c>
      <c r="G137" s="6">
        <v>420</v>
      </c>
      <c r="H137" s="48">
        <v>0</v>
      </c>
      <c r="I137" s="6">
        <v>0</v>
      </c>
      <c r="J137" s="12">
        <f>L137*1.3</f>
        <v>10.439</v>
      </c>
      <c r="K137" s="10" t="s">
        <v>115</v>
      </c>
      <c r="L137" s="3">
        <v>8.03</v>
      </c>
      <c r="M137" s="14">
        <v>18.12</v>
      </c>
      <c r="N137" s="8" t="str">
        <f>CONCATENATE(ROUND(7.27*1.8,2)," ",K137)</f>
        <v>13.09 Per Visit </v>
      </c>
      <c r="O137" s="8" t="str">
        <f t="shared" si="187"/>
        <v>8.03 Per Visit </v>
      </c>
      <c r="P137" s="7" t="s">
        <v>123</v>
      </c>
      <c r="Q137" s="8" t="str">
        <f t="shared" si="188"/>
        <v>8.03 Per Visit </v>
      </c>
      <c r="R137" s="3" t="str">
        <f t="shared" si="189"/>
        <v>8.83 Per Visit </v>
      </c>
      <c r="S137" s="3" t="str">
        <f t="shared" si="190"/>
        <v>8.03 Per Visit </v>
      </c>
      <c r="T137" s="4" t="s">
        <v>388</v>
      </c>
      <c r="U137" s="4" t="s">
        <v>389</v>
      </c>
      <c r="V137" s="3" t="str">
        <f t="shared" si="191"/>
        <v>8.03 Per Visit </v>
      </c>
      <c r="W137" s="3" t="str">
        <f t="shared" si="192"/>
        <v>8.03 Per Visit </v>
      </c>
      <c r="X137" s="3" t="str">
        <f t="shared" si="193"/>
        <v>8.03 Per Visit </v>
      </c>
      <c r="Y137" s="4" t="s">
        <v>392</v>
      </c>
      <c r="Z137" s="3" t="str">
        <f t="shared" si="194"/>
        <v>7.63 Per Visit </v>
      </c>
      <c r="AA137" s="3" t="str">
        <f t="shared" si="195"/>
        <v>7.63 Per Visit </v>
      </c>
      <c r="AB137" s="3" t="str">
        <f t="shared" si="196"/>
        <v>8.03 Per Visit </v>
      </c>
      <c r="AC137" s="3" t="str">
        <f t="shared" si="197"/>
        <v>8.43 Per Visit </v>
      </c>
      <c r="AD137" s="3" t="str">
        <f t="shared" si="198"/>
        <v>8.03 Per Visit </v>
      </c>
      <c r="AE137" s="3" t="str">
        <f t="shared" si="199"/>
        <v>8.03 Per Visit </v>
      </c>
      <c r="AF137" s="3" t="str">
        <f t="shared" si="200"/>
        <v>7.39 Per Visit </v>
      </c>
      <c r="AG137" s="3">
        <f t="shared" si="213"/>
        <v>51.198</v>
      </c>
      <c r="AH137" s="4" t="s">
        <v>111</v>
      </c>
      <c r="AI137" s="4" t="s">
        <v>111</v>
      </c>
      <c r="AJ137" s="4" t="s">
        <v>363</v>
      </c>
      <c r="AK137" s="3" t="str">
        <f t="shared" si="201"/>
        <v>8.03 Per Visit </v>
      </c>
      <c r="AL137" s="3" t="str">
        <f t="shared" si="202"/>
        <v>8.03 Per Visit </v>
      </c>
      <c r="AM137" s="4" t="s">
        <v>124</v>
      </c>
      <c r="AN137" s="4" t="s">
        <v>124</v>
      </c>
      <c r="AO137" s="4" t="s">
        <v>118</v>
      </c>
      <c r="AP137" s="4" t="s">
        <v>119</v>
      </c>
      <c r="AQ137" s="7" t="s">
        <v>83</v>
      </c>
      <c r="AR137" s="2" t="s">
        <v>282</v>
      </c>
      <c r="AS137" s="2" t="s">
        <v>282</v>
      </c>
      <c r="AT137" s="4" t="s">
        <v>126</v>
      </c>
      <c r="AU137" s="3" t="str">
        <f>CONCATENATE(ROUND(M137*1.1,2)," ",K137)</f>
        <v>19.93 Per Visit </v>
      </c>
      <c r="AV137" s="3" t="str">
        <f t="shared" si="204"/>
        <v>8.03 Per Visit </v>
      </c>
      <c r="AW137" s="3" t="str">
        <f t="shared" si="205"/>
        <v>7.63 Per Visit </v>
      </c>
      <c r="AX137" s="3" t="str">
        <f t="shared" si="206"/>
        <v>7.07 Per Visit </v>
      </c>
      <c r="AY137" s="3" t="s">
        <v>125</v>
      </c>
      <c r="AZ137" s="4" t="s">
        <v>400</v>
      </c>
      <c r="BA137" s="4" t="s">
        <v>126</v>
      </c>
      <c r="BB137" s="8">
        <v>0</v>
      </c>
      <c r="BC137" s="8">
        <v>0</v>
      </c>
      <c r="BD137" s="8">
        <v>0</v>
      </c>
      <c r="BE137" s="4" t="s">
        <v>112</v>
      </c>
      <c r="BF137" s="3" t="str">
        <f t="shared" si="207"/>
        <v>8.03 Per Visit </v>
      </c>
      <c r="BG137" s="8" t="str">
        <f t="shared" si="208"/>
        <v>7.63 Per Visit </v>
      </c>
      <c r="BH137" s="2" t="s">
        <v>83</v>
      </c>
      <c r="BI137" s="2" t="s">
        <v>83</v>
      </c>
      <c r="BJ137" s="3" t="str">
        <f t="shared" si="209"/>
        <v>7.63 Per Visit </v>
      </c>
      <c r="BK137" s="3" t="str">
        <f t="shared" si="210"/>
        <v>8.03 Per Visit </v>
      </c>
      <c r="BL137" s="4" t="s">
        <v>391</v>
      </c>
      <c r="BM137" s="7" t="s">
        <v>126</v>
      </c>
      <c r="BN137" s="3" t="str">
        <f>AX137</f>
        <v>7.07 Per Visit </v>
      </c>
      <c r="BO137" s="3" t="s">
        <v>416</v>
      </c>
    </row>
    <row r="138" spans="1:67" ht="19.5" customHeight="1">
      <c r="A138" s="10">
        <f aca="true" t="shared" si="214" ref="A138:A201">A137+1</f>
        <v>137</v>
      </c>
      <c r="B138" s="10">
        <v>97755</v>
      </c>
      <c r="C138" s="6">
        <v>4209775500</v>
      </c>
      <c r="D138" s="29" t="s">
        <v>190</v>
      </c>
      <c r="E138" s="6" t="s">
        <v>89</v>
      </c>
      <c r="F138" s="45">
        <v>128.79</v>
      </c>
      <c r="G138" s="6">
        <v>420</v>
      </c>
      <c r="H138" s="48">
        <v>0</v>
      </c>
      <c r="I138" s="6">
        <v>0</v>
      </c>
      <c r="J138" s="8">
        <f>L138*1.3</f>
        <v>55.211</v>
      </c>
      <c r="K138" s="24" t="s">
        <v>115</v>
      </c>
      <c r="L138" s="3">
        <v>42.47</v>
      </c>
      <c r="M138" s="14">
        <v>0</v>
      </c>
      <c r="N138" s="8" t="str">
        <f>CONCATENATE(ROUND(24.4*1.8,2)," ",K138)</f>
        <v>43.92 Per Visit </v>
      </c>
      <c r="O138" s="8" t="str">
        <f t="shared" si="187"/>
        <v>42.47 Per Visit </v>
      </c>
      <c r="P138" s="7" t="s">
        <v>123</v>
      </c>
      <c r="Q138" s="3" t="str">
        <f t="shared" si="188"/>
        <v>42.47 Per Visit </v>
      </c>
      <c r="R138" s="3" t="str">
        <f t="shared" si="189"/>
        <v>46.72 Per Visit </v>
      </c>
      <c r="S138" s="3" t="str">
        <f t="shared" si="190"/>
        <v>42.47 Per Visit </v>
      </c>
      <c r="T138" s="4" t="s">
        <v>388</v>
      </c>
      <c r="U138" s="4" t="s">
        <v>389</v>
      </c>
      <c r="V138" s="3" t="str">
        <f t="shared" si="191"/>
        <v>42.47 Per Visit </v>
      </c>
      <c r="W138" s="3" t="str">
        <f t="shared" si="192"/>
        <v>42.47 Per Visit </v>
      </c>
      <c r="X138" s="3" t="str">
        <f t="shared" si="193"/>
        <v>42.47 Per Visit </v>
      </c>
      <c r="Y138" s="4" t="s">
        <v>392</v>
      </c>
      <c r="Z138" s="3" t="str">
        <f t="shared" si="194"/>
        <v>40.35 Per Visit </v>
      </c>
      <c r="AA138" s="3" t="str">
        <f t="shared" si="195"/>
        <v>40.35 Per Visit </v>
      </c>
      <c r="AB138" s="3" t="str">
        <f t="shared" si="196"/>
        <v>42.47 Per Visit </v>
      </c>
      <c r="AC138" s="3" t="str">
        <f t="shared" si="197"/>
        <v>44.59 Per Visit </v>
      </c>
      <c r="AD138" s="3" t="str">
        <f t="shared" si="198"/>
        <v>42.47 Per Visit </v>
      </c>
      <c r="AE138" s="3" t="str">
        <f t="shared" si="199"/>
        <v>42.47 Per Visit </v>
      </c>
      <c r="AF138" s="3" t="str">
        <f t="shared" si="200"/>
        <v>39.07 Per Visit </v>
      </c>
      <c r="AG138" s="3">
        <f t="shared" si="213"/>
        <v>90.15299999999999</v>
      </c>
      <c r="AH138" s="4" t="s">
        <v>111</v>
      </c>
      <c r="AI138" s="4" t="s">
        <v>111</v>
      </c>
      <c r="AJ138" s="4" t="s">
        <v>363</v>
      </c>
      <c r="AK138" s="3" t="str">
        <f t="shared" si="201"/>
        <v>42.47 Per Visit </v>
      </c>
      <c r="AL138" s="3" t="str">
        <f t="shared" si="202"/>
        <v>42.47 Per Visit </v>
      </c>
      <c r="AM138" s="4" t="s">
        <v>124</v>
      </c>
      <c r="AN138" s="4" t="s">
        <v>124</v>
      </c>
      <c r="AO138" s="4" t="s">
        <v>118</v>
      </c>
      <c r="AP138" s="4" t="s">
        <v>119</v>
      </c>
      <c r="AQ138" s="7" t="s">
        <v>83</v>
      </c>
      <c r="AR138" s="2" t="s">
        <v>282</v>
      </c>
      <c r="AS138" s="2" t="s">
        <v>282</v>
      </c>
      <c r="AT138" s="4" t="s">
        <v>126</v>
      </c>
      <c r="AU138" s="2" t="s">
        <v>116</v>
      </c>
      <c r="AV138" s="3" t="str">
        <f t="shared" si="204"/>
        <v>42.47 Per Visit </v>
      </c>
      <c r="AW138" s="3" t="str">
        <f t="shared" si="205"/>
        <v>40.35 Per Visit </v>
      </c>
      <c r="AX138" s="3" t="str">
        <f t="shared" si="206"/>
        <v>37.37 Per Visit </v>
      </c>
      <c r="AY138" s="3" t="s">
        <v>125</v>
      </c>
      <c r="AZ138" s="4" t="s">
        <v>400</v>
      </c>
      <c r="BA138" s="4" t="s">
        <v>126</v>
      </c>
      <c r="BB138" s="8">
        <v>0</v>
      </c>
      <c r="BC138" s="8">
        <v>0</v>
      </c>
      <c r="BD138" s="8">
        <v>0</v>
      </c>
      <c r="BE138" s="4" t="s">
        <v>112</v>
      </c>
      <c r="BF138" s="3" t="str">
        <f t="shared" si="207"/>
        <v>42.47 Per Visit </v>
      </c>
      <c r="BG138" s="8" t="str">
        <f t="shared" si="208"/>
        <v>40.35 Per Visit </v>
      </c>
      <c r="BH138" s="4" t="s">
        <v>83</v>
      </c>
      <c r="BI138" s="4" t="s">
        <v>83</v>
      </c>
      <c r="BJ138" s="3" t="str">
        <f t="shared" si="209"/>
        <v>40.35 Per Visit </v>
      </c>
      <c r="BK138" s="3" t="str">
        <f t="shared" si="210"/>
        <v>42.47 Per Visit </v>
      </c>
      <c r="BL138" s="4" t="s">
        <v>391</v>
      </c>
      <c r="BM138" s="7" t="s">
        <v>126</v>
      </c>
      <c r="BN138" s="3" t="str">
        <f>AX138</f>
        <v>37.37 Per Visit </v>
      </c>
      <c r="BO138" s="3" t="s">
        <v>416</v>
      </c>
    </row>
    <row r="139" spans="1:67" ht="19.5" customHeight="1">
      <c r="A139" s="10">
        <f t="shared" si="214"/>
        <v>138</v>
      </c>
      <c r="B139" s="23">
        <v>92611</v>
      </c>
      <c r="C139" s="6">
        <v>4449261100</v>
      </c>
      <c r="D139" s="30" t="s">
        <v>230</v>
      </c>
      <c r="E139" s="11" t="s">
        <v>89</v>
      </c>
      <c r="F139" s="45">
        <v>306.06</v>
      </c>
      <c r="G139" s="11">
        <v>444</v>
      </c>
      <c r="H139" s="48">
        <v>0</v>
      </c>
      <c r="I139" s="6">
        <v>0</v>
      </c>
      <c r="J139" s="8">
        <f>L139*1.3</f>
        <v>133.95200000000003</v>
      </c>
      <c r="K139" s="24" t="s">
        <v>115</v>
      </c>
      <c r="L139" s="3">
        <v>103.04</v>
      </c>
      <c r="M139" s="1">
        <v>39.95</v>
      </c>
      <c r="N139" s="8" t="str">
        <f>CONCATENATE(ROUND(112.1*1.8,2)," ",K139)</f>
        <v>201.78 Per Visit </v>
      </c>
      <c r="O139" s="8" t="str">
        <f t="shared" si="187"/>
        <v>103.04 Per Visit </v>
      </c>
      <c r="P139" s="7" t="s">
        <v>123</v>
      </c>
      <c r="Q139" s="3" t="str">
        <f t="shared" si="188"/>
        <v>103.04 Per Visit </v>
      </c>
      <c r="R139" s="3" t="str">
        <f t="shared" si="189"/>
        <v>113.34 Per Visit </v>
      </c>
      <c r="S139" s="3" t="str">
        <f t="shared" si="190"/>
        <v>103.04 Per Visit </v>
      </c>
      <c r="T139" s="4" t="s">
        <v>388</v>
      </c>
      <c r="U139" s="4" t="s">
        <v>389</v>
      </c>
      <c r="V139" s="3" t="str">
        <f t="shared" si="191"/>
        <v>103.04 Per Visit </v>
      </c>
      <c r="W139" s="3" t="str">
        <f t="shared" si="192"/>
        <v>103.04 Per Visit </v>
      </c>
      <c r="X139" s="3" t="str">
        <f t="shared" si="193"/>
        <v>103.04 Per Visit </v>
      </c>
      <c r="Y139" s="4" t="s">
        <v>392</v>
      </c>
      <c r="Z139" s="3" t="str">
        <f t="shared" si="194"/>
        <v>97.89 Per Visit </v>
      </c>
      <c r="AA139" s="3" t="str">
        <f t="shared" si="195"/>
        <v>97.89 Per Visit </v>
      </c>
      <c r="AB139" s="3" t="str">
        <f t="shared" si="196"/>
        <v>103.04 Per Visit </v>
      </c>
      <c r="AC139" s="3" t="str">
        <f t="shared" si="197"/>
        <v>108.19 Per Visit </v>
      </c>
      <c r="AD139" s="3" t="str">
        <f t="shared" si="198"/>
        <v>103.04 Per Visit </v>
      </c>
      <c r="AE139" s="3" t="str">
        <f t="shared" si="199"/>
        <v>103.04 Per Visit </v>
      </c>
      <c r="AF139" s="3" t="str">
        <f t="shared" si="200"/>
        <v>94.8 Per Visit </v>
      </c>
      <c r="AG139" s="3">
        <f t="shared" si="213"/>
        <v>214.242</v>
      </c>
      <c r="AH139" s="4" t="s">
        <v>111</v>
      </c>
      <c r="AI139" s="4" t="s">
        <v>111</v>
      </c>
      <c r="AJ139" s="4" t="s">
        <v>363</v>
      </c>
      <c r="AK139" s="3" t="str">
        <f t="shared" si="201"/>
        <v>103.04 Per Visit </v>
      </c>
      <c r="AL139" s="3" t="str">
        <f t="shared" si="202"/>
        <v>103.04 Per Visit </v>
      </c>
      <c r="AM139" s="4" t="s">
        <v>124</v>
      </c>
      <c r="AN139" s="4" t="s">
        <v>124</v>
      </c>
      <c r="AO139" s="4" t="s">
        <v>118</v>
      </c>
      <c r="AP139" s="4" t="s">
        <v>119</v>
      </c>
      <c r="AQ139" s="7" t="s">
        <v>83</v>
      </c>
      <c r="AR139" s="2" t="s">
        <v>282</v>
      </c>
      <c r="AS139" s="2" t="s">
        <v>282</v>
      </c>
      <c r="AT139" s="4" t="s">
        <v>126</v>
      </c>
      <c r="AU139" s="3" t="str">
        <f>CONCATENATE(ROUND(M139*1.1,2)," ",K139)</f>
        <v>43.95 Per Visit </v>
      </c>
      <c r="AV139" s="3" t="str">
        <f t="shared" si="204"/>
        <v>103.04 Per Visit </v>
      </c>
      <c r="AW139" s="3" t="str">
        <f t="shared" si="205"/>
        <v>97.89 Per Visit </v>
      </c>
      <c r="AX139" s="3" t="str">
        <f t="shared" si="206"/>
        <v>90.68 Per Visit </v>
      </c>
      <c r="AY139" s="3" t="s">
        <v>125</v>
      </c>
      <c r="AZ139" s="4" t="s">
        <v>400</v>
      </c>
      <c r="BA139" s="4" t="s">
        <v>126</v>
      </c>
      <c r="BB139" s="8">
        <v>0</v>
      </c>
      <c r="BC139" s="8">
        <v>0</v>
      </c>
      <c r="BD139" s="8">
        <v>0</v>
      </c>
      <c r="BE139" s="4" t="s">
        <v>112</v>
      </c>
      <c r="BF139" s="3" t="str">
        <f t="shared" si="207"/>
        <v>103.04 Per Visit </v>
      </c>
      <c r="BG139" s="8" t="str">
        <f t="shared" si="208"/>
        <v>97.89 Per Visit </v>
      </c>
      <c r="BH139" s="4" t="s">
        <v>83</v>
      </c>
      <c r="BI139" s="4" t="s">
        <v>83</v>
      </c>
      <c r="BJ139" s="3" t="str">
        <f t="shared" si="209"/>
        <v>97.89 Per Visit </v>
      </c>
      <c r="BK139" s="3" t="str">
        <f t="shared" si="210"/>
        <v>103.04 Per Visit </v>
      </c>
      <c r="BL139" s="4" t="s">
        <v>391</v>
      </c>
      <c r="BM139" s="7" t="s">
        <v>126</v>
      </c>
      <c r="BN139" s="3" t="str">
        <f>AU139</f>
        <v>43.95 Per Visit </v>
      </c>
      <c r="BO139" s="3">
        <f>AG139</f>
        <v>214.242</v>
      </c>
    </row>
    <row r="140" spans="1:67" ht="19.5" customHeight="1">
      <c r="A140" s="10">
        <f t="shared" si="214"/>
        <v>139</v>
      </c>
      <c r="B140" s="23">
        <v>97032</v>
      </c>
      <c r="C140" s="23">
        <v>4209703200</v>
      </c>
      <c r="D140" s="30" t="s">
        <v>288</v>
      </c>
      <c r="E140" s="11" t="s">
        <v>89</v>
      </c>
      <c r="F140" s="45">
        <v>47.76</v>
      </c>
      <c r="G140" s="23">
        <v>420</v>
      </c>
      <c r="H140" s="48">
        <v>0</v>
      </c>
      <c r="I140" s="6">
        <v>0</v>
      </c>
      <c r="J140" s="8">
        <f>L140*1.3</f>
        <v>21.294</v>
      </c>
      <c r="K140" s="24" t="s">
        <v>113</v>
      </c>
      <c r="L140" s="3">
        <v>16.38</v>
      </c>
      <c r="M140" s="1">
        <v>8.66</v>
      </c>
      <c r="N140" s="8" t="str">
        <f>CONCATENATE(ROUND(12.9*1.8,2)," ",K140)</f>
        <v>23.22 Per 15 minutes</v>
      </c>
      <c r="O140" s="8" t="str">
        <f t="shared" si="187"/>
        <v>16.38 Per 15 minutes</v>
      </c>
      <c r="P140" s="7" t="s">
        <v>123</v>
      </c>
      <c r="Q140" s="3" t="str">
        <f t="shared" si="188"/>
        <v>16.38 Per 15 minutes</v>
      </c>
      <c r="R140" s="3" t="str">
        <f t="shared" si="189"/>
        <v>18.02 Per 15 minutes</v>
      </c>
      <c r="S140" s="3" t="str">
        <f t="shared" si="190"/>
        <v>16.38 Per 15 minutes</v>
      </c>
      <c r="T140" s="4" t="s">
        <v>388</v>
      </c>
      <c r="U140" s="4" t="s">
        <v>389</v>
      </c>
      <c r="V140" s="3" t="str">
        <f t="shared" si="191"/>
        <v>16.38 Per 15 minutes</v>
      </c>
      <c r="W140" s="3" t="str">
        <f t="shared" si="192"/>
        <v>16.38 Per 15 minutes</v>
      </c>
      <c r="X140" s="3" t="str">
        <f t="shared" si="193"/>
        <v>16.38 Per 15 minutes</v>
      </c>
      <c r="Y140" s="4" t="s">
        <v>392</v>
      </c>
      <c r="Z140" s="3" t="str">
        <f t="shared" si="194"/>
        <v>15.56 Per 15 minutes</v>
      </c>
      <c r="AA140" s="3" t="str">
        <f t="shared" si="195"/>
        <v>15.56 Per 15 minutes</v>
      </c>
      <c r="AB140" s="3" t="str">
        <f t="shared" si="196"/>
        <v>16.38 Per 15 minutes</v>
      </c>
      <c r="AC140" s="3" t="str">
        <f t="shared" si="197"/>
        <v>17.2 Per 15 minutes</v>
      </c>
      <c r="AD140" s="3" t="str">
        <f t="shared" si="198"/>
        <v>16.38 Per 15 minutes</v>
      </c>
      <c r="AE140" s="3" t="str">
        <f t="shared" si="199"/>
        <v>16.38 Per 15 minutes</v>
      </c>
      <c r="AF140" s="3" t="str">
        <f t="shared" si="200"/>
        <v>15.07 Per 15 minutes</v>
      </c>
      <c r="AG140" s="3">
        <f t="shared" si="213"/>
        <v>33.431999999999995</v>
      </c>
      <c r="AH140" s="4" t="s">
        <v>111</v>
      </c>
      <c r="AI140" s="4" t="s">
        <v>111</v>
      </c>
      <c r="AJ140" s="4" t="s">
        <v>363</v>
      </c>
      <c r="AK140" s="3" t="str">
        <f t="shared" si="201"/>
        <v>16.38 Per 15 minutes</v>
      </c>
      <c r="AL140" s="3" t="str">
        <f t="shared" si="202"/>
        <v>16.38 Per 15 minutes</v>
      </c>
      <c r="AM140" s="4" t="s">
        <v>124</v>
      </c>
      <c r="AN140" s="4" t="s">
        <v>124</v>
      </c>
      <c r="AO140" s="4" t="s">
        <v>118</v>
      </c>
      <c r="AP140" s="4" t="s">
        <v>119</v>
      </c>
      <c r="AQ140" s="7" t="s">
        <v>83</v>
      </c>
      <c r="AR140" s="2" t="s">
        <v>282</v>
      </c>
      <c r="AS140" s="2" t="s">
        <v>282</v>
      </c>
      <c r="AT140" s="4" t="s">
        <v>126</v>
      </c>
      <c r="AU140" s="3" t="str">
        <f>CONCATENATE(ROUND(M140*1.1,2)," ",K140)</f>
        <v>9.53 Per 15 minutes</v>
      </c>
      <c r="AV140" s="3" t="str">
        <f t="shared" si="204"/>
        <v>16.38 Per 15 minutes</v>
      </c>
      <c r="AW140" s="3" t="str">
        <f t="shared" si="205"/>
        <v>15.56 Per 15 minutes</v>
      </c>
      <c r="AX140" s="3" t="str">
        <f t="shared" si="206"/>
        <v>14.41 Per 15 minutes</v>
      </c>
      <c r="AY140" s="3" t="s">
        <v>125</v>
      </c>
      <c r="AZ140" s="4" t="s">
        <v>400</v>
      </c>
      <c r="BA140" s="4" t="s">
        <v>126</v>
      </c>
      <c r="BB140" s="8">
        <v>0</v>
      </c>
      <c r="BC140" s="8">
        <v>0</v>
      </c>
      <c r="BD140" s="8">
        <v>0</v>
      </c>
      <c r="BE140" s="4" t="s">
        <v>112</v>
      </c>
      <c r="BF140" s="3" t="str">
        <f t="shared" si="207"/>
        <v>16.38 Per 15 minutes</v>
      </c>
      <c r="BG140" s="8" t="str">
        <f t="shared" si="208"/>
        <v>15.56 Per 15 minutes</v>
      </c>
      <c r="BH140" s="4" t="s">
        <v>83</v>
      </c>
      <c r="BI140" s="4" t="s">
        <v>83</v>
      </c>
      <c r="BJ140" s="3" t="str">
        <f t="shared" si="209"/>
        <v>15.56 Per 15 minutes</v>
      </c>
      <c r="BK140" s="3" t="str">
        <f t="shared" si="210"/>
        <v>16.38 Per 15 minutes</v>
      </c>
      <c r="BL140" s="4" t="s">
        <v>391</v>
      </c>
      <c r="BM140" s="7" t="s">
        <v>126</v>
      </c>
      <c r="BN140" s="3" t="str">
        <f>AU140</f>
        <v>9.53 Per 15 minutes</v>
      </c>
      <c r="BO140" s="3" t="s">
        <v>416</v>
      </c>
    </row>
    <row r="141" spans="1:67" ht="19.5" customHeight="1">
      <c r="A141" s="10">
        <f t="shared" si="214"/>
        <v>140</v>
      </c>
      <c r="B141" s="23">
        <v>97012</v>
      </c>
      <c r="C141" s="6">
        <v>4209701200</v>
      </c>
      <c r="D141" s="29" t="s">
        <v>289</v>
      </c>
      <c r="E141" s="11" t="s">
        <v>89</v>
      </c>
      <c r="F141" s="45">
        <v>47.76</v>
      </c>
      <c r="G141" s="23">
        <v>420</v>
      </c>
      <c r="H141" s="48">
        <v>0</v>
      </c>
      <c r="I141" s="6">
        <v>0</v>
      </c>
      <c r="J141" s="8">
        <f>L141*1.3</f>
        <v>21.294</v>
      </c>
      <c r="K141" s="24" t="s">
        <v>115</v>
      </c>
      <c r="L141" s="3">
        <v>16.38</v>
      </c>
      <c r="M141" s="1">
        <v>11.14</v>
      </c>
      <c r="N141" s="8" t="str">
        <f>CONCATENATE(ROUND(11.02*1.8,2)," ",K141)</f>
        <v>19.84 Per Visit </v>
      </c>
      <c r="O141" s="8" t="str">
        <f t="shared" si="187"/>
        <v>16.38 Per Visit </v>
      </c>
      <c r="P141" s="7" t="s">
        <v>123</v>
      </c>
      <c r="Q141" s="3" t="str">
        <f t="shared" si="188"/>
        <v>16.38 Per Visit </v>
      </c>
      <c r="R141" s="3" t="str">
        <f t="shared" si="189"/>
        <v>18.02 Per Visit </v>
      </c>
      <c r="S141" s="3" t="str">
        <f t="shared" si="190"/>
        <v>16.38 Per Visit </v>
      </c>
      <c r="T141" s="4" t="s">
        <v>388</v>
      </c>
      <c r="U141" s="4" t="s">
        <v>389</v>
      </c>
      <c r="V141" s="3" t="str">
        <f t="shared" si="191"/>
        <v>16.38 Per Visit </v>
      </c>
      <c r="W141" s="3" t="str">
        <f t="shared" si="192"/>
        <v>16.38 Per Visit </v>
      </c>
      <c r="X141" s="3" t="str">
        <f t="shared" si="193"/>
        <v>16.38 Per Visit </v>
      </c>
      <c r="Y141" s="4" t="s">
        <v>392</v>
      </c>
      <c r="Z141" s="3" t="str">
        <f t="shared" si="194"/>
        <v>15.56 Per Visit </v>
      </c>
      <c r="AA141" s="3" t="str">
        <f t="shared" si="195"/>
        <v>15.56 Per Visit </v>
      </c>
      <c r="AB141" s="3" t="str">
        <f t="shared" si="196"/>
        <v>16.38 Per Visit </v>
      </c>
      <c r="AC141" s="3" t="str">
        <f t="shared" si="197"/>
        <v>17.2 Per Visit </v>
      </c>
      <c r="AD141" s="3" t="str">
        <f t="shared" si="198"/>
        <v>16.38 Per Visit </v>
      </c>
      <c r="AE141" s="3" t="str">
        <f t="shared" si="199"/>
        <v>16.38 Per Visit </v>
      </c>
      <c r="AF141" s="3" t="str">
        <f t="shared" si="200"/>
        <v>15.07 Per Visit </v>
      </c>
      <c r="AG141" s="3">
        <f t="shared" si="213"/>
        <v>33.431999999999995</v>
      </c>
      <c r="AH141" s="4" t="s">
        <v>111</v>
      </c>
      <c r="AI141" s="4" t="s">
        <v>111</v>
      </c>
      <c r="AJ141" s="4" t="s">
        <v>363</v>
      </c>
      <c r="AK141" s="3" t="str">
        <f t="shared" si="201"/>
        <v>16.38 Per Visit </v>
      </c>
      <c r="AL141" s="3" t="str">
        <f t="shared" si="202"/>
        <v>16.38 Per Visit </v>
      </c>
      <c r="AM141" s="4" t="s">
        <v>124</v>
      </c>
      <c r="AN141" s="4" t="s">
        <v>124</v>
      </c>
      <c r="AO141" s="4" t="s">
        <v>118</v>
      </c>
      <c r="AP141" s="4" t="s">
        <v>119</v>
      </c>
      <c r="AQ141" s="7" t="s">
        <v>83</v>
      </c>
      <c r="AR141" s="2" t="s">
        <v>282</v>
      </c>
      <c r="AS141" s="2" t="s">
        <v>282</v>
      </c>
      <c r="AT141" s="4" t="s">
        <v>126</v>
      </c>
      <c r="AU141" s="3" t="str">
        <f>CONCATENATE(ROUND(M141*1.1,2)," ",K141)</f>
        <v>12.25 Per Visit </v>
      </c>
      <c r="AV141" s="3" t="str">
        <f t="shared" si="204"/>
        <v>16.38 Per Visit </v>
      </c>
      <c r="AW141" s="3" t="str">
        <f t="shared" si="205"/>
        <v>15.56 Per Visit </v>
      </c>
      <c r="AX141" s="3" t="str">
        <f t="shared" si="206"/>
        <v>14.41 Per Visit </v>
      </c>
      <c r="AY141" s="3" t="s">
        <v>125</v>
      </c>
      <c r="AZ141" s="4" t="s">
        <v>400</v>
      </c>
      <c r="BA141" s="4" t="s">
        <v>126</v>
      </c>
      <c r="BB141" s="8">
        <v>0</v>
      </c>
      <c r="BC141" s="8">
        <v>0</v>
      </c>
      <c r="BD141" s="8">
        <v>0</v>
      </c>
      <c r="BE141" s="4" t="s">
        <v>112</v>
      </c>
      <c r="BF141" s="3" t="str">
        <f t="shared" si="207"/>
        <v>16.38 Per Visit </v>
      </c>
      <c r="BG141" s="8" t="str">
        <f t="shared" si="208"/>
        <v>15.56 Per Visit </v>
      </c>
      <c r="BH141" s="4" t="s">
        <v>83</v>
      </c>
      <c r="BI141" s="4" t="s">
        <v>83</v>
      </c>
      <c r="BJ141" s="3" t="str">
        <f t="shared" si="209"/>
        <v>15.56 Per Visit </v>
      </c>
      <c r="BK141" s="3" t="str">
        <f t="shared" si="210"/>
        <v>16.38 Per Visit </v>
      </c>
      <c r="BL141" s="4" t="s">
        <v>391</v>
      </c>
      <c r="BM141" s="7" t="s">
        <v>126</v>
      </c>
      <c r="BN141" s="3" t="str">
        <f>AU141</f>
        <v>12.25 Per Visit </v>
      </c>
      <c r="BO141" s="3" t="s">
        <v>416</v>
      </c>
    </row>
    <row r="142" spans="1:67" ht="19.5" customHeight="1">
      <c r="A142" s="10">
        <f t="shared" si="214"/>
        <v>141</v>
      </c>
      <c r="B142" s="23">
        <v>92610</v>
      </c>
      <c r="C142" s="23">
        <v>4449261000</v>
      </c>
      <c r="D142" s="30" t="s">
        <v>199</v>
      </c>
      <c r="E142" s="11" t="s">
        <v>89</v>
      </c>
      <c r="F142" s="45">
        <v>284.4</v>
      </c>
      <c r="G142" s="11">
        <v>444</v>
      </c>
      <c r="H142" s="48">
        <v>0</v>
      </c>
      <c r="I142" s="6">
        <v>0</v>
      </c>
      <c r="J142" s="8">
        <v>225</v>
      </c>
      <c r="K142" s="24" t="s">
        <v>115</v>
      </c>
      <c r="L142" s="3">
        <v>95.19</v>
      </c>
      <c r="M142" s="1">
        <v>48.78</v>
      </c>
      <c r="N142" s="8" t="str">
        <f>CONCATENATE(ROUND(65.58*1.8,2)," ",K142)</f>
        <v>118.04 Per Visit </v>
      </c>
      <c r="O142" s="8" t="str">
        <f t="shared" si="187"/>
        <v>95.19 Per Visit </v>
      </c>
      <c r="P142" s="7" t="s">
        <v>123</v>
      </c>
      <c r="Q142" s="3" t="str">
        <f t="shared" si="188"/>
        <v>95.19 Per Visit </v>
      </c>
      <c r="R142" s="3" t="str">
        <f t="shared" si="189"/>
        <v>104.71 Per Visit </v>
      </c>
      <c r="S142" s="3" t="str">
        <f t="shared" si="190"/>
        <v>95.19 Per Visit </v>
      </c>
      <c r="T142" s="4" t="s">
        <v>388</v>
      </c>
      <c r="U142" s="4" t="s">
        <v>389</v>
      </c>
      <c r="V142" s="3" t="str">
        <f t="shared" si="191"/>
        <v>95.19 Per Visit </v>
      </c>
      <c r="W142" s="3" t="str">
        <f t="shared" si="192"/>
        <v>95.19 Per Visit </v>
      </c>
      <c r="X142" s="3" t="str">
        <f t="shared" si="193"/>
        <v>95.19 Per Visit </v>
      </c>
      <c r="Y142" s="4" t="s">
        <v>392</v>
      </c>
      <c r="Z142" s="3" t="str">
        <f t="shared" si="194"/>
        <v>90.43 Per Visit </v>
      </c>
      <c r="AA142" s="3" t="str">
        <f t="shared" si="195"/>
        <v>90.43 Per Visit </v>
      </c>
      <c r="AB142" s="3" t="str">
        <f t="shared" si="196"/>
        <v>95.19 Per Visit </v>
      </c>
      <c r="AC142" s="3" t="str">
        <f t="shared" si="197"/>
        <v>99.95 Per Visit </v>
      </c>
      <c r="AD142" s="3" t="str">
        <f t="shared" si="198"/>
        <v>95.19 Per Visit </v>
      </c>
      <c r="AE142" s="3" t="str">
        <f t="shared" si="199"/>
        <v>95.19 Per Visit </v>
      </c>
      <c r="AF142" s="3" t="str">
        <f t="shared" si="200"/>
        <v>87.57 Per Visit </v>
      </c>
      <c r="AG142" s="3">
        <f t="shared" si="213"/>
        <v>199.07999999999998</v>
      </c>
      <c r="AH142" s="4" t="s">
        <v>111</v>
      </c>
      <c r="AI142" s="4" t="s">
        <v>111</v>
      </c>
      <c r="AJ142" s="4" t="s">
        <v>363</v>
      </c>
      <c r="AK142" s="3" t="str">
        <f t="shared" si="201"/>
        <v>95.19 Per Visit </v>
      </c>
      <c r="AL142" s="3" t="str">
        <f t="shared" si="202"/>
        <v>95.19 Per Visit </v>
      </c>
      <c r="AM142" s="4" t="s">
        <v>124</v>
      </c>
      <c r="AN142" s="4" t="s">
        <v>124</v>
      </c>
      <c r="AO142" s="4" t="s">
        <v>118</v>
      </c>
      <c r="AP142" s="4" t="s">
        <v>119</v>
      </c>
      <c r="AQ142" s="7" t="s">
        <v>83</v>
      </c>
      <c r="AR142" s="2" t="s">
        <v>282</v>
      </c>
      <c r="AS142" s="2" t="s">
        <v>282</v>
      </c>
      <c r="AT142" s="4" t="s">
        <v>126</v>
      </c>
      <c r="AU142" s="3" t="str">
        <f>CONCATENATE(ROUND(M142*1.1,2)," ",K142)</f>
        <v>53.66 Per Visit </v>
      </c>
      <c r="AV142" s="3" t="str">
        <f t="shared" si="204"/>
        <v>95.19 Per Visit </v>
      </c>
      <c r="AW142" s="3" t="str">
        <f t="shared" si="205"/>
        <v>90.43 Per Visit </v>
      </c>
      <c r="AX142" s="3" t="str">
        <f t="shared" si="206"/>
        <v>83.77 Per Visit </v>
      </c>
      <c r="AY142" s="3" t="s">
        <v>125</v>
      </c>
      <c r="AZ142" s="4" t="s">
        <v>400</v>
      </c>
      <c r="BA142" s="4" t="s">
        <v>126</v>
      </c>
      <c r="BB142" s="8">
        <v>0</v>
      </c>
      <c r="BC142" s="8">
        <v>0</v>
      </c>
      <c r="BD142" s="8">
        <v>0</v>
      </c>
      <c r="BE142" s="4" t="s">
        <v>112</v>
      </c>
      <c r="BF142" s="3" t="str">
        <f t="shared" si="207"/>
        <v>95.19 Per Visit </v>
      </c>
      <c r="BG142" s="8" t="str">
        <f t="shared" si="208"/>
        <v>90.43 Per Visit </v>
      </c>
      <c r="BH142" s="4" t="s">
        <v>83</v>
      </c>
      <c r="BI142" s="4" t="s">
        <v>83</v>
      </c>
      <c r="BJ142" s="3" t="str">
        <f t="shared" si="209"/>
        <v>90.43 Per Visit </v>
      </c>
      <c r="BK142" s="3" t="str">
        <f t="shared" si="210"/>
        <v>95.19 Per Visit </v>
      </c>
      <c r="BL142" s="4" t="s">
        <v>391</v>
      </c>
      <c r="BM142" s="7" t="s">
        <v>126</v>
      </c>
      <c r="BN142" s="3" t="str">
        <f>AU142</f>
        <v>53.66 Per Visit </v>
      </c>
      <c r="BO142" s="3">
        <f>AG142</f>
        <v>199.07999999999998</v>
      </c>
    </row>
    <row r="143" spans="1:67" ht="19.5" customHeight="1">
      <c r="A143" s="10">
        <f t="shared" si="214"/>
        <v>142</v>
      </c>
      <c r="B143" s="23">
        <v>97760</v>
      </c>
      <c r="C143" s="6">
        <v>4209776000</v>
      </c>
      <c r="D143" s="30" t="s">
        <v>332</v>
      </c>
      <c r="E143" s="11" t="s">
        <v>89</v>
      </c>
      <c r="F143" s="45">
        <v>167.1</v>
      </c>
      <c r="G143" s="23">
        <v>420</v>
      </c>
      <c r="H143" s="48">
        <v>0</v>
      </c>
      <c r="I143" s="6">
        <v>0</v>
      </c>
      <c r="J143" s="8">
        <f>L143*1.3</f>
        <v>73.489</v>
      </c>
      <c r="K143" s="24" t="s">
        <v>115</v>
      </c>
      <c r="L143" s="3">
        <v>56.53</v>
      </c>
      <c r="M143" s="14">
        <v>0</v>
      </c>
      <c r="N143" s="8" t="str">
        <f>CONCATENATE(ROUND(25.62*1.8,2)," ",K143)</f>
        <v>46.12 Per Visit </v>
      </c>
      <c r="O143" s="8" t="str">
        <f t="shared" si="187"/>
        <v>56.53 Per Visit </v>
      </c>
      <c r="P143" s="7" t="s">
        <v>123</v>
      </c>
      <c r="Q143" s="3" t="str">
        <f t="shared" si="188"/>
        <v>56.53 Per Visit </v>
      </c>
      <c r="R143" s="3" t="str">
        <f t="shared" si="189"/>
        <v>62.18 Per Visit </v>
      </c>
      <c r="S143" s="3" t="str">
        <f t="shared" si="190"/>
        <v>56.53 Per Visit </v>
      </c>
      <c r="T143" s="4" t="s">
        <v>388</v>
      </c>
      <c r="U143" s="4" t="s">
        <v>389</v>
      </c>
      <c r="V143" s="3" t="str">
        <f t="shared" si="191"/>
        <v>56.53 Per Visit </v>
      </c>
      <c r="W143" s="3" t="str">
        <f t="shared" si="192"/>
        <v>56.53 Per Visit </v>
      </c>
      <c r="X143" s="3" t="str">
        <f t="shared" si="193"/>
        <v>56.53 Per Visit </v>
      </c>
      <c r="Y143" s="4" t="s">
        <v>392</v>
      </c>
      <c r="Z143" s="3" t="str">
        <f t="shared" si="194"/>
        <v>53.7 Per Visit </v>
      </c>
      <c r="AA143" s="3" t="str">
        <f t="shared" si="195"/>
        <v>53.7 Per Visit </v>
      </c>
      <c r="AB143" s="3" t="str">
        <f t="shared" si="196"/>
        <v>56.53 Per Visit </v>
      </c>
      <c r="AC143" s="3" t="str">
        <f t="shared" si="197"/>
        <v>59.36 Per Visit </v>
      </c>
      <c r="AD143" s="3" t="str">
        <f t="shared" si="198"/>
        <v>56.53 Per Visit </v>
      </c>
      <c r="AE143" s="3" t="str">
        <f t="shared" si="199"/>
        <v>56.53 Per Visit </v>
      </c>
      <c r="AF143" s="3" t="str">
        <f t="shared" si="200"/>
        <v>52.01 Per Visit </v>
      </c>
      <c r="AG143" s="3">
        <f t="shared" si="213"/>
        <v>116.96999999999998</v>
      </c>
      <c r="AH143" s="4" t="s">
        <v>111</v>
      </c>
      <c r="AI143" s="4" t="s">
        <v>111</v>
      </c>
      <c r="AJ143" s="4" t="s">
        <v>363</v>
      </c>
      <c r="AK143" s="3" t="str">
        <f t="shared" si="201"/>
        <v>56.53 Per Visit </v>
      </c>
      <c r="AL143" s="3" t="str">
        <f t="shared" si="202"/>
        <v>56.53 Per Visit </v>
      </c>
      <c r="AM143" s="4" t="s">
        <v>124</v>
      </c>
      <c r="AN143" s="4" t="s">
        <v>124</v>
      </c>
      <c r="AO143" s="4" t="s">
        <v>118</v>
      </c>
      <c r="AP143" s="4" t="s">
        <v>119</v>
      </c>
      <c r="AQ143" s="7" t="s">
        <v>83</v>
      </c>
      <c r="AR143" s="2" t="s">
        <v>282</v>
      </c>
      <c r="AS143" s="2" t="s">
        <v>282</v>
      </c>
      <c r="AT143" s="4" t="s">
        <v>126</v>
      </c>
      <c r="AU143" s="3">
        <f>M143</f>
        <v>0</v>
      </c>
      <c r="AV143" s="3" t="str">
        <f t="shared" si="204"/>
        <v>56.53 Per Visit </v>
      </c>
      <c r="AW143" s="3" t="str">
        <f t="shared" si="205"/>
        <v>53.7 Per Visit </v>
      </c>
      <c r="AX143" s="3" t="str">
        <f t="shared" si="206"/>
        <v>49.75 Per Visit </v>
      </c>
      <c r="AY143" s="3" t="s">
        <v>125</v>
      </c>
      <c r="AZ143" s="4" t="s">
        <v>400</v>
      </c>
      <c r="BA143" s="4" t="s">
        <v>126</v>
      </c>
      <c r="BB143" s="8">
        <v>0</v>
      </c>
      <c r="BC143" s="8">
        <v>0</v>
      </c>
      <c r="BD143" s="8">
        <v>0</v>
      </c>
      <c r="BE143" s="4" t="s">
        <v>112</v>
      </c>
      <c r="BF143" s="3" t="str">
        <f t="shared" si="207"/>
        <v>56.53 Per Visit </v>
      </c>
      <c r="BG143" s="8" t="str">
        <f t="shared" si="208"/>
        <v>53.7 Per Visit </v>
      </c>
      <c r="BH143" s="4" t="s">
        <v>83</v>
      </c>
      <c r="BI143" s="4" t="s">
        <v>83</v>
      </c>
      <c r="BJ143" s="3" t="str">
        <f t="shared" si="209"/>
        <v>53.7 Per Visit </v>
      </c>
      <c r="BK143" s="3" t="str">
        <f t="shared" si="210"/>
        <v>56.53 Per Visit </v>
      </c>
      <c r="BL143" s="4" t="s">
        <v>391</v>
      </c>
      <c r="BM143" s="7" t="s">
        <v>126</v>
      </c>
      <c r="BN143" s="8" t="s">
        <v>364</v>
      </c>
      <c r="BO143" s="3" t="s">
        <v>416</v>
      </c>
    </row>
    <row r="144" spans="1:67" ht="19.5" customHeight="1">
      <c r="A144" s="10">
        <f t="shared" si="214"/>
        <v>143</v>
      </c>
      <c r="B144" s="23">
        <v>92609</v>
      </c>
      <c r="C144" s="6">
        <v>4409260900</v>
      </c>
      <c r="D144" s="30" t="s">
        <v>201</v>
      </c>
      <c r="E144" s="11" t="s">
        <v>89</v>
      </c>
      <c r="F144" s="45">
        <v>347.82</v>
      </c>
      <c r="G144" s="23">
        <v>440</v>
      </c>
      <c r="H144" s="48">
        <v>0</v>
      </c>
      <c r="I144" s="6">
        <v>0</v>
      </c>
      <c r="J144" s="8">
        <v>400</v>
      </c>
      <c r="K144" s="24" t="s">
        <v>115</v>
      </c>
      <c r="L144" s="3">
        <v>118.08</v>
      </c>
      <c r="M144" s="1">
        <v>51.95</v>
      </c>
      <c r="N144" s="8" t="str">
        <f>CONCATENATE(ROUND(113.92*1.8,2)," ",K144)</f>
        <v>205.06 Per Visit </v>
      </c>
      <c r="O144" s="8" t="str">
        <f t="shared" si="187"/>
        <v>118.08 Per Visit </v>
      </c>
      <c r="P144" s="7" t="s">
        <v>123</v>
      </c>
      <c r="Q144" s="3" t="str">
        <f t="shared" si="188"/>
        <v>118.08 Per Visit </v>
      </c>
      <c r="R144" s="3" t="str">
        <f t="shared" si="189"/>
        <v>129.89 Per Visit </v>
      </c>
      <c r="S144" s="3" t="str">
        <f t="shared" si="190"/>
        <v>118.08 Per Visit </v>
      </c>
      <c r="T144" s="4" t="s">
        <v>388</v>
      </c>
      <c r="U144" s="4" t="s">
        <v>389</v>
      </c>
      <c r="V144" s="3" t="str">
        <f t="shared" si="191"/>
        <v>118.08 Per Visit </v>
      </c>
      <c r="W144" s="3" t="str">
        <f t="shared" si="192"/>
        <v>118.08 Per Visit </v>
      </c>
      <c r="X144" s="3" t="str">
        <f t="shared" si="193"/>
        <v>118.08 Per Visit </v>
      </c>
      <c r="Y144" s="4" t="s">
        <v>392</v>
      </c>
      <c r="Z144" s="3" t="str">
        <f t="shared" si="194"/>
        <v>112.18 Per Visit </v>
      </c>
      <c r="AA144" s="3" t="str">
        <f t="shared" si="195"/>
        <v>112.18 Per Visit </v>
      </c>
      <c r="AB144" s="3" t="str">
        <f t="shared" si="196"/>
        <v>118.08 Per Visit </v>
      </c>
      <c r="AC144" s="3" t="str">
        <f t="shared" si="197"/>
        <v>123.98 Per Visit </v>
      </c>
      <c r="AD144" s="3" t="str">
        <f t="shared" si="198"/>
        <v>118.08 Per Visit </v>
      </c>
      <c r="AE144" s="3" t="str">
        <f t="shared" si="199"/>
        <v>118.08 Per Visit </v>
      </c>
      <c r="AF144" s="3" t="str">
        <f t="shared" si="200"/>
        <v>108.63 Per Visit </v>
      </c>
      <c r="AG144" s="3">
        <f t="shared" si="213"/>
        <v>243.474</v>
      </c>
      <c r="AH144" s="4" t="s">
        <v>111</v>
      </c>
      <c r="AI144" s="4" t="s">
        <v>111</v>
      </c>
      <c r="AJ144" s="4" t="s">
        <v>363</v>
      </c>
      <c r="AK144" s="3" t="str">
        <f t="shared" si="201"/>
        <v>118.08 Per Visit </v>
      </c>
      <c r="AL144" s="3" t="str">
        <f t="shared" si="202"/>
        <v>118.08 Per Visit </v>
      </c>
      <c r="AM144" s="4" t="s">
        <v>124</v>
      </c>
      <c r="AN144" s="4" t="s">
        <v>124</v>
      </c>
      <c r="AO144" s="4" t="s">
        <v>118</v>
      </c>
      <c r="AP144" s="4" t="s">
        <v>119</v>
      </c>
      <c r="AQ144" s="7" t="s">
        <v>83</v>
      </c>
      <c r="AR144" s="2" t="s">
        <v>282</v>
      </c>
      <c r="AS144" s="2" t="s">
        <v>282</v>
      </c>
      <c r="AT144" s="4" t="s">
        <v>126</v>
      </c>
      <c r="AU144" s="3" t="str">
        <f>CONCATENATE(ROUND(M144*1.1,2)," ",K144)</f>
        <v>57.15 Per Visit </v>
      </c>
      <c r="AV144" s="3" t="str">
        <f t="shared" si="204"/>
        <v>118.08 Per Visit </v>
      </c>
      <c r="AW144" s="3" t="str">
        <f t="shared" si="205"/>
        <v>112.18 Per Visit </v>
      </c>
      <c r="AX144" s="3" t="str">
        <f t="shared" si="206"/>
        <v>103.91 Per Visit </v>
      </c>
      <c r="AY144" s="3" t="s">
        <v>125</v>
      </c>
      <c r="AZ144" s="4" t="s">
        <v>400</v>
      </c>
      <c r="BA144" s="4" t="s">
        <v>126</v>
      </c>
      <c r="BB144" s="8">
        <v>0</v>
      </c>
      <c r="BC144" s="8">
        <v>0</v>
      </c>
      <c r="BD144" s="8">
        <v>0</v>
      </c>
      <c r="BE144" s="4" t="s">
        <v>112</v>
      </c>
      <c r="BF144" s="3" t="str">
        <f t="shared" si="207"/>
        <v>118.08 Per Visit </v>
      </c>
      <c r="BG144" s="8" t="str">
        <f t="shared" si="208"/>
        <v>112.18 Per Visit </v>
      </c>
      <c r="BH144" s="4" t="s">
        <v>83</v>
      </c>
      <c r="BI144" s="4" t="s">
        <v>83</v>
      </c>
      <c r="BJ144" s="3" t="str">
        <f t="shared" si="209"/>
        <v>112.18 Per Visit </v>
      </c>
      <c r="BK144" s="3" t="str">
        <f t="shared" si="210"/>
        <v>118.08 Per Visit </v>
      </c>
      <c r="BL144" s="4" t="s">
        <v>391</v>
      </c>
      <c r="BM144" s="7" t="s">
        <v>126</v>
      </c>
      <c r="BN144" s="3" t="str">
        <f>AU144</f>
        <v>57.15 Per Visit </v>
      </c>
      <c r="BO144" s="3">
        <f>AG144</f>
        <v>243.474</v>
      </c>
    </row>
    <row r="145" spans="1:67" ht="19.5" customHeight="1">
      <c r="A145" s="10">
        <f t="shared" si="214"/>
        <v>144</v>
      </c>
      <c r="B145" s="23">
        <v>90901</v>
      </c>
      <c r="C145" s="6">
        <v>4209090100</v>
      </c>
      <c r="D145" s="29" t="s">
        <v>334</v>
      </c>
      <c r="E145" s="11" t="s">
        <v>89</v>
      </c>
      <c r="F145" s="45">
        <v>140.67</v>
      </c>
      <c r="G145" s="23">
        <v>420</v>
      </c>
      <c r="H145" s="48">
        <v>0</v>
      </c>
      <c r="I145" s="6">
        <v>0</v>
      </c>
      <c r="J145" s="8">
        <f aca="true" t="shared" si="215" ref="J145:J150">L145*1.3</f>
        <v>61.217000000000006</v>
      </c>
      <c r="K145" s="24" t="s">
        <v>115</v>
      </c>
      <c r="L145" s="3">
        <v>47.09</v>
      </c>
      <c r="M145" s="14">
        <v>0</v>
      </c>
      <c r="N145" s="8" t="str">
        <f>CONCATENATE(ROUND(73*1.8,2)," ",K145)</f>
        <v>131.4 Per Visit </v>
      </c>
      <c r="O145" s="8" t="str">
        <f t="shared" si="187"/>
        <v>47.09 Per Visit </v>
      </c>
      <c r="P145" s="7" t="s">
        <v>123</v>
      </c>
      <c r="Q145" s="3" t="str">
        <f t="shared" si="188"/>
        <v>47.09 Per Visit </v>
      </c>
      <c r="R145" s="3" t="str">
        <f t="shared" si="189"/>
        <v>51.8 Per Visit </v>
      </c>
      <c r="S145" s="3" t="str">
        <f t="shared" si="190"/>
        <v>47.09 Per Visit </v>
      </c>
      <c r="T145" s="4" t="s">
        <v>388</v>
      </c>
      <c r="U145" s="4" t="s">
        <v>389</v>
      </c>
      <c r="V145" s="3" t="str">
        <f t="shared" si="191"/>
        <v>47.09 Per Visit </v>
      </c>
      <c r="W145" s="3" t="str">
        <f t="shared" si="192"/>
        <v>47.09 Per Visit </v>
      </c>
      <c r="X145" s="3" t="str">
        <f t="shared" si="193"/>
        <v>47.09 Per Visit </v>
      </c>
      <c r="Y145" s="4" t="s">
        <v>392</v>
      </c>
      <c r="Z145" s="3" t="str">
        <f t="shared" si="194"/>
        <v>44.74 Per Visit </v>
      </c>
      <c r="AA145" s="3" t="str">
        <f t="shared" si="195"/>
        <v>44.74 Per Visit </v>
      </c>
      <c r="AB145" s="3" t="str">
        <f t="shared" si="196"/>
        <v>47.09 Per Visit </v>
      </c>
      <c r="AC145" s="3" t="str">
        <f t="shared" si="197"/>
        <v>49.44 Per Visit </v>
      </c>
      <c r="AD145" s="3" t="str">
        <f t="shared" si="198"/>
        <v>47.09 Per Visit </v>
      </c>
      <c r="AE145" s="3" t="str">
        <f t="shared" si="199"/>
        <v>47.09 Per Visit </v>
      </c>
      <c r="AF145" s="3" t="str">
        <f t="shared" si="200"/>
        <v>43.32 Per Visit </v>
      </c>
      <c r="AG145" s="3">
        <f t="shared" si="213"/>
        <v>98.46899999999998</v>
      </c>
      <c r="AH145" s="4" t="s">
        <v>111</v>
      </c>
      <c r="AI145" s="4" t="s">
        <v>111</v>
      </c>
      <c r="AJ145" s="4" t="s">
        <v>363</v>
      </c>
      <c r="AK145" s="3" t="str">
        <f t="shared" si="201"/>
        <v>47.09 Per Visit </v>
      </c>
      <c r="AL145" s="3" t="str">
        <f t="shared" si="202"/>
        <v>47.09 Per Visit </v>
      </c>
      <c r="AM145" s="4" t="s">
        <v>124</v>
      </c>
      <c r="AN145" s="4" t="s">
        <v>124</v>
      </c>
      <c r="AO145" s="4" t="s">
        <v>118</v>
      </c>
      <c r="AP145" s="4" t="s">
        <v>119</v>
      </c>
      <c r="AQ145" s="7" t="s">
        <v>83</v>
      </c>
      <c r="AR145" s="2" t="s">
        <v>282</v>
      </c>
      <c r="AS145" s="2" t="s">
        <v>282</v>
      </c>
      <c r="AT145" s="4" t="s">
        <v>126</v>
      </c>
      <c r="AU145" s="3">
        <f>M145</f>
        <v>0</v>
      </c>
      <c r="AV145" s="3" t="str">
        <f t="shared" si="204"/>
        <v>47.09 Per Visit </v>
      </c>
      <c r="AW145" s="3" t="str">
        <f t="shared" si="205"/>
        <v>44.74 Per Visit </v>
      </c>
      <c r="AX145" s="3" t="str">
        <f t="shared" si="206"/>
        <v>41.44 Per Visit </v>
      </c>
      <c r="AY145" s="3" t="s">
        <v>125</v>
      </c>
      <c r="AZ145" s="4" t="s">
        <v>400</v>
      </c>
      <c r="BA145" s="4" t="s">
        <v>126</v>
      </c>
      <c r="BB145" s="8">
        <v>0</v>
      </c>
      <c r="BC145" s="8">
        <v>0</v>
      </c>
      <c r="BD145" s="8">
        <v>0</v>
      </c>
      <c r="BE145" s="4" t="s">
        <v>112</v>
      </c>
      <c r="BF145" s="3" t="str">
        <f t="shared" si="207"/>
        <v>47.09 Per Visit </v>
      </c>
      <c r="BG145" s="8" t="str">
        <f t="shared" si="208"/>
        <v>44.74 Per Visit </v>
      </c>
      <c r="BH145" s="4" t="s">
        <v>83</v>
      </c>
      <c r="BI145" s="4" t="s">
        <v>83</v>
      </c>
      <c r="BJ145" s="3" t="str">
        <f t="shared" si="209"/>
        <v>44.74 Per Visit </v>
      </c>
      <c r="BK145" s="3" t="str">
        <f t="shared" si="210"/>
        <v>47.09 Per Visit </v>
      </c>
      <c r="BL145" s="4" t="s">
        <v>391</v>
      </c>
      <c r="BM145" s="7" t="s">
        <v>126</v>
      </c>
      <c r="BN145" s="2" t="s">
        <v>366</v>
      </c>
      <c r="BO145" s="3" t="s">
        <v>416</v>
      </c>
    </row>
    <row r="146" spans="1:67" ht="19.5" customHeight="1">
      <c r="A146" s="10">
        <f t="shared" si="214"/>
        <v>145</v>
      </c>
      <c r="B146" s="23">
        <v>97763</v>
      </c>
      <c r="C146" s="6">
        <v>4209776300</v>
      </c>
      <c r="D146" s="30" t="s">
        <v>333</v>
      </c>
      <c r="E146" s="11" t="s">
        <v>89</v>
      </c>
      <c r="F146" s="45">
        <v>184.26</v>
      </c>
      <c r="G146" s="23">
        <v>420</v>
      </c>
      <c r="H146" s="48">
        <v>0</v>
      </c>
      <c r="I146" s="6">
        <v>0</v>
      </c>
      <c r="J146" s="8">
        <f t="shared" si="215"/>
        <v>81.068</v>
      </c>
      <c r="K146" s="24" t="s">
        <v>115</v>
      </c>
      <c r="L146" s="4">
        <v>62.36</v>
      </c>
      <c r="M146" s="14">
        <v>0</v>
      </c>
      <c r="N146" s="8" t="str">
        <f>CONCATENATE(ROUND(48.23*1.8,2)," ",K146)</f>
        <v>86.81 Per Visit </v>
      </c>
      <c r="O146" s="8" t="str">
        <f t="shared" si="187"/>
        <v>62.36 Per Visit </v>
      </c>
      <c r="P146" s="7" t="s">
        <v>123</v>
      </c>
      <c r="Q146" s="3" t="str">
        <f t="shared" si="188"/>
        <v>62.36 Per Visit </v>
      </c>
      <c r="R146" s="3" t="str">
        <f t="shared" si="189"/>
        <v>68.6 Per Visit </v>
      </c>
      <c r="S146" s="3" t="str">
        <f t="shared" si="190"/>
        <v>62.36 Per Visit </v>
      </c>
      <c r="T146" s="4" t="s">
        <v>388</v>
      </c>
      <c r="U146" s="4" t="s">
        <v>389</v>
      </c>
      <c r="V146" s="3" t="str">
        <f t="shared" si="191"/>
        <v>62.36 Per Visit </v>
      </c>
      <c r="W146" s="3" t="str">
        <f t="shared" si="192"/>
        <v>62.36 Per Visit </v>
      </c>
      <c r="X146" s="3" t="str">
        <f t="shared" si="193"/>
        <v>62.36 Per Visit </v>
      </c>
      <c r="Y146" s="4" t="s">
        <v>392</v>
      </c>
      <c r="Z146" s="3" t="str">
        <f t="shared" si="194"/>
        <v>59.24 Per Visit </v>
      </c>
      <c r="AA146" s="3" t="str">
        <f t="shared" si="195"/>
        <v>59.24 Per Visit </v>
      </c>
      <c r="AB146" s="3" t="str">
        <f t="shared" si="196"/>
        <v>62.36 Per Visit </v>
      </c>
      <c r="AC146" s="3" t="str">
        <f t="shared" si="197"/>
        <v>65.48 Per Visit </v>
      </c>
      <c r="AD146" s="3" t="str">
        <f t="shared" si="198"/>
        <v>62.36 Per Visit </v>
      </c>
      <c r="AE146" s="3" t="str">
        <f t="shared" si="199"/>
        <v>62.36 Per Visit </v>
      </c>
      <c r="AF146" s="3" t="str">
        <f t="shared" si="200"/>
        <v>57.37 Per Visit </v>
      </c>
      <c r="AG146" s="3">
        <f t="shared" si="213"/>
        <v>128.982</v>
      </c>
      <c r="AH146" s="4" t="s">
        <v>111</v>
      </c>
      <c r="AI146" s="4" t="s">
        <v>111</v>
      </c>
      <c r="AJ146" s="4" t="s">
        <v>363</v>
      </c>
      <c r="AK146" s="3" t="str">
        <f t="shared" si="201"/>
        <v>62.36 Per Visit </v>
      </c>
      <c r="AL146" s="3" t="str">
        <f t="shared" si="202"/>
        <v>62.36 Per Visit </v>
      </c>
      <c r="AM146" s="4" t="s">
        <v>124</v>
      </c>
      <c r="AN146" s="4" t="s">
        <v>124</v>
      </c>
      <c r="AO146" s="4" t="s">
        <v>118</v>
      </c>
      <c r="AP146" s="4" t="s">
        <v>119</v>
      </c>
      <c r="AQ146" s="7" t="s">
        <v>83</v>
      </c>
      <c r="AR146" s="2" t="s">
        <v>282</v>
      </c>
      <c r="AS146" s="2" t="s">
        <v>282</v>
      </c>
      <c r="AT146" s="4" t="s">
        <v>126</v>
      </c>
      <c r="AU146" s="3">
        <f>M146</f>
        <v>0</v>
      </c>
      <c r="AV146" s="3" t="str">
        <f t="shared" si="204"/>
        <v>62.36 Per Visit </v>
      </c>
      <c r="AW146" s="3" t="str">
        <f t="shared" si="205"/>
        <v>59.24 Per Visit </v>
      </c>
      <c r="AX146" s="3" t="str">
        <f aca="true" t="shared" si="216" ref="AX146:AX177">CONCATENATE(ROUND(L146*0.88,2)," ",K146)</f>
        <v>54.88 Per Visit </v>
      </c>
      <c r="AY146" s="3" t="s">
        <v>125</v>
      </c>
      <c r="AZ146" s="4" t="s">
        <v>400</v>
      </c>
      <c r="BA146" s="4" t="s">
        <v>126</v>
      </c>
      <c r="BB146" s="8">
        <v>0</v>
      </c>
      <c r="BC146" s="8">
        <v>0</v>
      </c>
      <c r="BD146" s="8">
        <v>0</v>
      </c>
      <c r="BE146" s="4" t="s">
        <v>112</v>
      </c>
      <c r="BF146" s="3" t="str">
        <f t="shared" si="207"/>
        <v>62.36 Per Visit </v>
      </c>
      <c r="BG146" s="8" t="str">
        <f t="shared" si="208"/>
        <v>59.24 Per Visit </v>
      </c>
      <c r="BH146" s="4" t="s">
        <v>83</v>
      </c>
      <c r="BI146" s="4" t="s">
        <v>83</v>
      </c>
      <c r="BJ146" s="3" t="str">
        <f t="shared" si="209"/>
        <v>59.24 Per Visit </v>
      </c>
      <c r="BK146" s="3" t="str">
        <f t="shared" si="210"/>
        <v>62.36 Per Visit </v>
      </c>
      <c r="BL146" s="4" t="s">
        <v>391</v>
      </c>
      <c r="BM146" s="7" t="s">
        <v>126</v>
      </c>
      <c r="BN146" s="2" t="s">
        <v>367</v>
      </c>
      <c r="BO146" s="3" t="s">
        <v>416</v>
      </c>
    </row>
    <row r="147" spans="1:67" ht="19.5" customHeight="1">
      <c r="A147" s="10">
        <f t="shared" si="214"/>
        <v>146</v>
      </c>
      <c r="B147" s="6">
        <v>90912</v>
      </c>
      <c r="C147" s="6">
        <v>4209091200</v>
      </c>
      <c r="D147" s="30" t="s">
        <v>360</v>
      </c>
      <c r="E147" s="11" t="s">
        <v>89</v>
      </c>
      <c r="F147" s="45">
        <v>274.44</v>
      </c>
      <c r="G147" s="6">
        <v>420</v>
      </c>
      <c r="H147" s="48">
        <v>0</v>
      </c>
      <c r="I147" s="6">
        <v>0</v>
      </c>
      <c r="J147" s="8">
        <f t="shared" si="215"/>
        <v>120.718</v>
      </c>
      <c r="K147" s="24" t="s">
        <v>115</v>
      </c>
      <c r="L147" s="4">
        <v>92.86</v>
      </c>
      <c r="M147" s="14">
        <v>0</v>
      </c>
      <c r="N147" s="8" t="str">
        <f>CONCATENATE(ROUND(42.16*1.8,2)," ",K147)</f>
        <v>75.89 Per Visit </v>
      </c>
      <c r="O147" s="8" t="str">
        <f t="shared" si="187"/>
        <v>92.86 Per Visit </v>
      </c>
      <c r="P147" s="7" t="s">
        <v>123</v>
      </c>
      <c r="Q147" s="3" t="str">
        <f t="shared" si="188"/>
        <v>92.86 Per Visit </v>
      </c>
      <c r="R147" s="3" t="str">
        <f t="shared" si="189"/>
        <v>102.15 Per Visit </v>
      </c>
      <c r="S147" s="3" t="str">
        <f t="shared" si="190"/>
        <v>92.86 Per Visit </v>
      </c>
      <c r="T147" s="4" t="s">
        <v>388</v>
      </c>
      <c r="U147" s="4" t="s">
        <v>389</v>
      </c>
      <c r="V147" s="3" t="str">
        <f t="shared" si="191"/>
        <v>92.86 Per Visit </v>
      </c>
      <c r="W147" s="3" t="str">
        <f t="shared" si="192"/>
        <v>92.86 Per Visit </v>
      </c>
      <c r="X147" s="3" t="str">
        <f t="shared" si="193"/>
        <v>92.86 Per Visit </v>
      </c>
      <c r="Y147" s="4" t="s">
        <v>392</v>
      </c>
      <c r="Z147" s="3" t="str">
        <f t="shared" si="194"/>
        <v>88.22 Per Visit </v>
      </c>
      <c r="AA147" s="3" t="str">
        <f t="shared" si="195"/>
        <v>88.22 Per Visit </v>
      </c>
      <c r="AB147" s="3" t="str">
        <f t="shared" si="196"/>
        <v>92.86 Per Visit </v>
      </c>
      <c r="AC147" s="3" t="str">
        <f t="shared" si="197"/>
        <v>97.5 Per Visit </v>
      </c>
      <c r="AD147" s="3" t="str">
        <f t="shared" si="198"/>
        <v>92.86 Per Visit </v>
      </c>
      <c r="AE147" s="3" t="str">
        <f t="shared" si="199"/>
        <v>92.86 Per Visit </v>
      </c>
      <c r="AF147" s="3" t="str">
        <f t="shared" si="200"/>
        <v>85.43 Per Visit </v>
      </c>
      <c r="AG147" s="3">
        <f t="shared" si="213"/>
        <v>192.10799999999998</v>
      </c>
      <c r="AH147" s="4" t="s">
        <v>111</v>
      </c>
      <c r="AI147" s="4" t="s">
        <v>111</v>
      </c>
      <c r="AJ147" s="4" t="s">
        <v>363</v>
      </c>
      <c r="AK147" s="3" t="str">
        <f t="shared" si="201"/>
        <v>92.86 Per Visit </v>
      </c>
      <c r="AL147" s="3" t="str">
        <f t="shared" si="202"/>
        <v>92.86 Per Visit </v>
      </c>
      <c r="AM147" s="4" t="s">
        <v>124</v>
      </c>
      <c r="AN147" s="4" t="s">
        <v>124</v>
      </c>
      <c r="AO147" s="4" t="s">
        <v>118</v>
      </c>
      <c r="AP147" s="4" t="s">
        <v>119</v>
      </c>
      <c r="AQ147" s="7" t="s">
        <v>83</v>
      </c>
      <c r="AR147" s="2" t="s">
        <v>282</v>
      </c>
      <c r="AS147" s="2" t="s">
        <v>282</v>
      </c>
      <c r="AT147" s="4" t="s">
        <v>126</v>
      </c>
      <c r="AU147" s="2" t="s">
        <v>116</v>
      </c>
      <c r="AV147" s="3" t="str">
        <f t="shared" si="204"/>
        <v>92.86 Per Visit </v>
      </c>
      <c r="AW147" s="3" t="str">
        <f t="shared" si="205"/>
        <v>88.22 Per Visit </v>
      </c>
      <c r="AX147" s="3" t="str">
        <f t="shared" si="216"/>
        <v>81.72 Per Visit </v>
      </c>
      <c r="AY147" s="3" t="s">
        <v>125</v>
      </c>
      <c r="AZ147" s="4" t="s">
        <v>400</v>
      </c>
      <c r="BA147" s="4" t="s">
        <v>126</v>
      </c>
      <c r="BB147" s="8">
        <v>0</v>
      </c>
      <c r="BC147" s="8">
        <v>0</v>
      </c>
      <c r="BD147" s="8">
        <v>0</v>
      </c>
      <c r="BE147" s="4" t="s">
        <v>112</v>
      </c>
      <c r="BF147" s="3" t="str">
        <f t="shared" si="207"/>
        <v>92.86 Per Visit </v>
      </c>
      <c r="BG147" s="8" t="str">
        <f t="shared" si="208"/>
        <v>88.22 Per Visit </v>
      </c>
      <c r="BH147" s="4" t="s">
        <v>83</v>
      </c>
      <c r="BI147" s="4" t="s">
        <v>83</v>
      </c>
      <c r="BJ147" s="3" t="str">
        <f t="shared" si="209"/>
        <v>88.22 Per Visit </v>
      </c>
      <c r="BK147" s="3" t="str">
        <f t="shared" si="210"/>
        <v>92.86 Per Visit </v>
      </c>
      <c r="BL147" s="4" t="s">
        <v>391</v>
      </c>
      <c r="BM147" s="7" t="s">
        <v>126</v>
      </c>
      <c r="BN147" s="3" t="str">
        <f>AX147</f>
        <v>81.72 Per Visit </v>
      </c>
      <c r="BO147" s="3">
        <f>AG147</f>
        <v>192.10799999999998</v>
      </c>
    </row>
    <row r="148" spans="1:67" ht="19.5" customHeight="1">
      <c r="A148" s="10">
        <f t="shared" si="214"/>
        <v>147</v>
      </c>
      <c r="B148" s="23">
        <v>97750</v>
      </c>
      <c r="C148" s="6">
        <v>4209775000</v>
      </c>
      <c r="D148" s="29" t="s">
        <v>331</v>
      </c>
      <c r="E148" s="11" t="s">
        <v>89</v>
      </c>
      <c r="F148" s="45">
        <v>114.81</v>
      </c>
      <c r="G148" s="23">
        <v>420</v>
      </c>
      <c r="H148" s="48">
        <v>0</v>
      </c>
      <c r="I148" s="6">
        <v>0</v>
      </c>
      <c r="J148" s="8">
        <f t="shared" si="215"/>
        <v>49.79</v>
      </c>
      <c r="K148" s="24" t="s">
        <v>115</v>
      </c>
      <c r="L148" s="4">
        <v>38.3</v>
      </c>
      <c r="M148" s="1">
        <v>11.5</v>
      </c>
      <c r="N148" s="8" t="str">
        <f>CONCATENATE(ROUND(22.66*1.8,2)," ",K148)</f>
        <v>40.79 Per Visit </v>
      </c>
      <c r="O148" s="8" t="str">
        <f t="shared" si="187"/>
        <v>38.3 Per Visit </v>
      </c>
      <c r="P148" s="7" t="s">
        <v>123</v>
      </c>
      <c r="Q148" s="3" t="str">
        <f t="shared" si="188"/>
        <v>38.3 Per Visit </v>
      </c>
      <c r="R148" s="3" t="str">
        <f t="shared" si="189"/>
        <v>42.13 Per Visit </v>
      </c>
      <c r="S148" s="3" t="str">
        <f t="shared" si="190"/>
        <v>38.3 Per Visit </v>
      </c>
      <c r="T148" s="4" t="s">
        <v>388</v>
      </c>
      <c r="U148" s="4" t="s">
        <v>389</v>
      </c>
      <c r="V148" s="3" t="str">
        <f t="shared" si="191"/>
        <v>38.3 Per Visit </v>
      </c>
      <c r="W148" s="3" t="str">
        <f t="shared" si="192"/>
        <v>38.3 Per Visit </v>
      </c>
      <c r="X148" s="3" t="str">
        <f t="shared" si="193"/>
        <v>38.3 Per Visit </v>
      </c>
      <c r="Y148" s="4" t="s">
        <v>392</v>
      </c>
      <c r="Z148" s="3" t="str">
        <f t="shared" si="194"/>
        <v>36.39 Per Visit </v>
      </c>
      <c r="AA148" s="3" t="str">
        <f t="shared" si="195"/>
        <v>36.39 Per Visit </v>
      </c>
      <c r="AB148" s="3" t="str">
        <f t="shared" si="196"/>
        <v>38.3 Per Visit </v>
      </c>
      <c r="AC148" s="3" t="str">
        <f t="shared" si="197"/>
        <v>40.22 Per Visit </v>
      </c>
      <c r="AD148" s="3" t="str">
        <f t="shared" si="198"/>
        <v>38.3 Per Visit </v>
      </c>
      <c r="AE148" s="3" t="str">
        <f t="shared" si="199"/>
        <v>38.3 Per Visit </v>
      </c>
      <c r="AF148" s="3" t="str">
        <f t="shared" si="200"/>
        <v>35.24 Per Visit </v>
      </c>
      <c r="AG148" s="3">
        <f t="shared" si="213"/>
        <v>80.36699999999999</v>
      </c>
      <c r="AH148" s="4" t="s">
        <v>111</v>
      </c>
      <c r="AI148" s="4" t="s">
        <v>111</v>
      </c>
      <c r="AJ148" s="4" t="s">
        <v>363</v>
      </c>
      <c r="AK148" s="3" t="str">
        <f t="shared" si="201"/>
        <v>38.3 Per Visit </v>
      </c>
      <c r="AL148" s="3" t="str">
        <f t="shared" si="202"/>
        <v>38.3 Per Visit </v>
      </c>
      <c r="AM148" s="4" t="s">
        <v>124</v>
      </c>
      <c r="AN148" s="4" t="s">
        <v>124</v>
      </c>
      <c r="AO148" s="4" t="s">
        <v>118</v>
      </c>
      <c r="AP148" s="4" t="s">
        <v>119</v>
      </c>
      <c r="AQ148" s="7" t="s">
        <v>83</v>
      </c>
      <c r="AR148" s="2" t="s">
        <v>282</v>
      </c>
      <c r="AS148" s="2" t="s">
        <v>282</v>
      </c>
      <c r="AT148" s="4" t="s">
        <v>126</v>
      </c>
      <c r="AU148" s="3" t="str">
        <f>CONCATENATE(ROUND(M148*1.1,2)," ",K148)</f>
        <v>12.65 Per Visit </v>
      </c>
      <c r="AV148" s="3" t="str">
        <f t="shared" si="204"/>
        <v>38.3 Per Visit </v>
      </c>
      <c r="AW148" s="3" t="str">
        <f t="shared" si="205"/>
        <v>36.39 Per Visit </v>
      </c>
      <c r="AX148" s="3" t="str">
        <f t="shared" si="216"/>
        <v>33.7 Per Visit </v>
      </c>
      <c r="AY148" s="3" t="s">
        <v>125</v>
      </c>
      <c r="AZ148" s="4" t="s">
        <v>400</v>
      </c>
      <c r="BA148" s="4" t="s">
        <v>126</v>
      </c>
      <c r="BB148" s="8">
        <v>0</v>
      </c>
      <c r="BC148" s="8">
        <v>0</v>
      </c>
      <c r="BD148" s="8">
        <v>0</v>
      </c>
      <c r="BE148" s="4" t="s">
        <v>112</v>
      </c>
      <c r="BF148" s="3" t="str">
        <f t="shared" si="207"/>
        <v>38.3 Per Visit </v>
      </c>
      <c r="BG148" s="8" t="str">
        <f t="shared" si="208"/>
        <v>36.39 Per Visit </v>
      </c>
      <c r="BH148" s="4" t="s">
        <v>83</v>
      </c>
      <c r="BI148" s="4" t="s">
        <v>83</v>
      </c>
      <c r="BJ148" s="3" t="str">
        <f t="shared" si="209"/>
        <v>36.39 Per Visit </v>
      </c>
      <c r="BK148" s="3" t="str">
        <f t="shared" si="210"/>
        <v>38.3 Per Visit </v>
      </c>
      <c r="BL148" s="4" t="s">
        <v>391</v>
      </c>
      <c r="BM148" s="7" t="s">
        <v>126</v>
      </c>
      <c r="BN148" s="3" t="str">
        <f>AU148</f>
        <v>12.65 Per Visit </v>
      </c>
      <c r="BO148" s="3" t="s">
        <v>416</v>
      </c>
    </row>
    <row r="149" spans="1:67" ht="19.5" customHeight="1">
      <c r="A149" s="10">
        <f t="shared" si="214"/>
        <v>148</v>
      </c>
      <c r="B149" s="23">
        <v>97034</v>
      </c>
      <c r="C149" s="6">
        <v>4209703400</v>
      </c>
      <c r="D149" s="29" t="s">
        <v>330</v>
      </c>
      <c r="E149" s="11" t="s">
        <v>89</v>
      </c>
      <c r="F149" s="45">
        <v>48.33</v>
      </c>
      <c r="G149" s="23">
        <v>420</v>
      </c>
      <c r="H149" s="48">
        <v>0</v>
      </c>
      <c r="I149" s="6">
        <v>0</v>
      </c>
      <c r="J149" s="8">
        <f t="shared" si="215"/>
        <v>21.515</v>
      </c>
      <c r="K149" s="24" t="s">
        <v>113</v>
      </c>
      <c r="L149" s="4">
        <v>16.55</v>
      </c>
      <c r="M149" s="1">
        <v>7.83</v>
      </c>
      <c r="N149" s="8" t="str">
        <f>CONCATENATE(ROUND(11.98*1.8,2)," ",K149)</f>
        <v>21.56 Per 15 minutes</v>
      </c>
      <c r="O149" s="8" t="str">
        <f t="shared" si="187"/>
        <v>16.55 Per 15 minutes</v>
      </c>
      <c r="P149" s="7" t="s">
        <v>123</v>
      </c>
      <c r="Q149" s="3" t="str">
        <f t="shared" si="188"/>
        <v>16.55 Per 15 minutes</v>
      </c>
      <c r="R149" s="3" t="str">
        <f t="shared" si="189"/>
        <v>18.21 Per 15 minutes</v>
      </c>
      <c r="S149" s="3" t="str">
        <f t="shared" si="190"/>
        <v>16.55 Per 15 minutes</v>
      </c>
      <c r="T149" s="4" t="s">
        <v>388</v>
      </c>
      <c r="U149" s="4" t="s">
        <v>389</v>
      </c>
      <c r="V149" s="3" t="str">
        <f t="shared" si="191"/>
        <v>16.55 Per 15 minutes</v>
      </c>
      <c r="W149" s="3" t="str">
        <f t="shared" si="192"/>
        <v>16.55 Per 15 minutes</v>
      </c>
      <c r="X149" s="3" t="str">
        <f t="shared" si="193"/>
        <v>16.55 Per 15 minutes</v>
      </c>
      <c r="Y149" s="4" t="s">
        <v>392</v>
      </c>
      <c r="Z149" s="3" t="str">
        <f t="shared" si="194"/>
        <v>15.72 Per 15 minutes</v>
      </c>
      <c r="AA149" s="3" t="str">
        <f t="shared" si="195"/>
        <v>15.72 Per 15 minutes</v>
      </c>
      <c r="AB149" s="3" t="str">
        <f t="shared" si="196"/>
        <v>16.55 Per 15 minutes</v>
      </c>
      <c r="AC149" s="3" t="str">
        <f t="shared" si="197"/>
        <v>17.38 Per 15 minutes</v>
      </c>
      <c r="AD149" s="3" t="str">
        <f t="shared" si="198"/>
        <v>16.55 Per 15 minutes</v>
      </c>
      <c r="AE149" s="3" t="str">
        <f t="shared" si="199"/>
        <v>16.55 Per 15 minutes</v>
      </c>
      <c r="AF149" s="3" t="str">
        <f t="shared" si="200"/>
        <v>15.23 Per 15 minutes</v>
      </c>
      <c r="AG149" s="3">
        <f t="shared" si="213"/>
        <v>33.830999999999996</v>
      </c>
      <c r="AH149" s="4" t="s">
        <v>111</v>
      </c>
      <c r="AI149" s="4" t="s">
        <v>111</v>
      </c>
      <c r="AJ149" s="4" t="s">
        <v>363</v>
      </c>
      <c r="AK149" s="3" t="str">
        <f t="shared" si="201"/>
        <v>16.55 Per 15 minutes</v>
      </c>
      <c r="AL149" s="3" t="str">
        <f t="shared" si="202"/>
        <v>16.55 Per 15 minutes</v>
      </c>
      <c r="AM149" s="4" t="s">
        <v>124</v>
      </c>
      <c r="AN149" s="4" t="s">
        <v>124</v>
      </c>
      <c r="AO149" s="4" t="s">
        <v>118</v>
      </c>
      <c r="AP149" s="4" t="s">
        <v>119</v>
      </c>
      <c r="AQ149" s="7" t="s">
        <v>83</v>
      </c>
      <c r="AR149" s="2" t="s">
        <v>282</v>
      </c>
      <c r="AS149" s="2" t="s">
        <v>282</v>
      </c>
      <c r="AT149" s="4" t="s">
        <v>126</v>
      </c>
      <c r="AU149" s="3" t="str">
        <f>CONCATENATE(ROUND(M149*1.1,2)," ",K149)</f>
        <v>8.61 Per 15 minutes</v>
      </c>
      <c r="AV149" s="3" t="str">
        <f t="shared" si="204"/>
        <v>16.55 Per 15 minutes</v>
      </c>
      <c r="AW149" s="3" t="str">
        <f t="shared" si="205"/>
        <v>15.72 Per 15 minutes</v>
      </c>
      <c r="AX149" s="3" t="str">
        <f t="shared" si="216"/>
        <v>14.56 Per 15 minutes</v>
      </c>
      <c r="AY149" s="3" t="s">
        <v>125</v>
      </c>
      <c r="AZ149" s="4" t="s">
        <v>400</v>
      </c>
      <c r="BA149" s="4" t="s">
        <v>126</v>
      </c>
      <c r="BB149" s="8">
        <v>0</v>
      </c>
      <c r="BC149" s="8">
        <v>0</v>
      </c>
      <c r="BD149" s="8">
        <v>0</v>
      </c>
      <c r="BE149" s="4" t="s">
        <v>112</v>
      </c>
      <c r="BF149" s="3" t="str">
        <f t="shared" si="207"/>
        <v>16.55 Per 15 minutes</v>
      </c>
      <c r="BG149" s="8" t="str">
        <f t="shared" si="208"/>
        <v>15.72 Per 15 minutes</v>
      </c>
      <c r="BH149" s="4" t="s">
        <v>83</v>
      </c>
      <c r="BI149" s="4" t="s">
        <v>83</v>
      </c>
      <c r="BJ149" s="3" t="str">
        <f t="shared" si="209"/>
        <v>15.72 Per 15 minutes</v>
      </c>
      <c r="BK149" s="3" t="str">
        <f t="shared" si="210"/>
        <v>16.55 Per 15 minutes</v>
      </c>
      <c r="BL149" s="4" t="s">
        <v>391</v>
      </c>
      <c r="BM149" s="7" t="s">
        <v>126</v>
      </c>
      <c r="BN149" s="3" t="str">
        <f>AU149</f>
        <v>8.61 Per 15 minutes</v>
      </c>
      <c r="BO149" s="3" t="s">
        <v>416</v>
      </c>
    </row>
    <row r="150" spans="1:67" ht="19.5" customHeight="1">
      <c r="A150" s="10">
        <f t="shared" si="214"/>
        <v>149</v>
      </c>
      <c r="B150" s="23">
        <v>97034</v>
      </c>
      <c r="C150" s="6">
        <v>4309703400</v>
      </c>
      <c r="D150" s="29" t="s">
        <v>329</v>
      </c>
      <c r="E150" s="11" t="s">
        <v>89</v>
      </c>
      <c r="F150" s="45">
        <v>48.33</v>
      </c>
      <c r="G150" s="23">
        <v>430</v>
      </c>
      <c r="H150" s="48">
        <v>0</v>
      </c>
      <c r="I150" s="6">
        <v>0</v>
      </c>
      <c r="J150" s="8">
        <f t="shared" si="215"/>
        <v>21.515</v>
      </c>
      <c r="K150" s="24" t="s">
        <v>113</v>
      </c>
      <c r="L150" s="4">
        <v>16.55</v>
      </c>
      <c r="M150" s="1">
        <v>7.83</v>
      </c>
      <c r="N150" s="8" t="str">
        <f>CONCATENATE(ROUND(11.98*1.8,2)," ",K150)</f>
        <v>21.56 Per 15 minutes</v>
      </c>
      <c r="O150" s="8" t="str">
        <f t="shared" si="187"/>
        <v>16.55 Per 15 minutes</v>
      </c>
      <c r="P150" s="7" t="s">
        <v>123</v>
      </c>
      <c r="Q150" s="3" t="str">
        <f t="shared" si="188"/>
        <v>16.55 Per 15 minutes</v>
      </c>
      <c r="R150" s="3" t="str">
        <f t="shared" si="189"/>
        <v>18.21 Per 15 minutes</v>
      </c>
      <c r="S150" s="3" t="str">
        <f t="shared" si="190"/>
        <v>16.55 Per 15 minutes</v>
      </c>
      <c r="T150" s="4" t="s">
        <v>388</v>
      </c>
      <c r="U150" s="4" t="s">
        <v>389</v>
      </c>
      <c r="V150" s="3" t="str">
        <f t="shared" si="191"/>
        <v>16.55 Per 15 minutes</v>
      </c>
      <c r="W150" s="3" t="str">
        <f t="shared" si="192"/>
        <v>16.55 Per 15 minutes</v>
      </c>
      <c r="X150" s="3" t="str">
        <f t="shared" si="193"/>
        <v>16.55 Per 15 minutes</v>
      </c>
      <c r="Y150" s="4" t="s">
        <v>392</v>
      </c>
      <c r="Z150" s="3" t="str">
        <f t="shared" si="194"/>
        <v>15.72 Per 15 minutes</v>
      </c>
      <c r="AA150" s="3" t="str">
        <f t="shared" si="195"/>
        <v>15.72 Per 15 minutes</v>
      </c>
      <c r="AB150" s="3" t="str">
        <f t="shared" si="196"/>
        <v>16.55 Per 15 minutes</v>
      </c>
      <c r="AC150" s="3" t="str">
        <f t="shared" si="197"/>
        <v>17.38 Per 15 minutes</v>
      </c>
      <c r="AD150" s="3" t="str">
        <f t="shared" si="198"/>
        <v>16.55 Per 15 minutes</v>
      </c>
      <c r="AE150" s="3" t="str">
        <f t="shared" si="199"/>
        <v>16.55 Per 15 minutes</v>
      </c>
      <c r="AF150" s="3" t="str">
        <f t="shared" si="200"/>
        <v>15.23 Per 15 minutes</v>
      </c>
      <c r="AG150" s="3">
        <f t="shared" si="213"/>
        <v>33.830999999999996</v>
      </c>
      <c r="AH150" s="4" t="s">
        <v>111</v>
      </c>
      <c r="AI150" s="4" t="s">
        <v>111</v>
      </c>
      <c r="AJ150" s="4" t="s">
        <v>363</v>
      </c>
      <c r="AK150" s="3" t="str">
        <f t="shared" si="201"/>
        <v>16.55 Per 15 minutes</v>
      </c>
      <c r="AL150" s="3" t="str">
        <f t="shared" si="202"/>
        <v>16.55 Per 15 minutes</v>
      </c>
      <c r="AM150" s="4" t="s">
        <v>124</v>
      </c>
      <c r="AN150" s="4" t="s">
        <v>124</v>
      </c>
      <c r="AO150" s="4" t="s">
        <v>118</v>
      </c>
      <c r="AP150" s="4" t="s">
        <v>119</v>
      </c>
      <c r="AQ150" s="7" t="s">
        <v>83</v>
      </c>
      <c r="AR150" s="2" t="s">
        <v>282</v>
      </c>
      <c r="AS150" s="2" t="s">
        <v>282</v>
      </c>
      <c r="AT150" s="4" t="s">
        <v>126</v>
      </c>
      <c r="AU150" s="3" t="str">
        <f>CONCATENATE(ROUND(M150*1.1,2)," ",K150)</f>
        <v>8.61 Per 15 minutes</v>
      </c>
      <c r="AV150" s="3" t="str">
        <f t="shared" si="204"/>
        <v>16.55 Per 15 minutes</v>
      </c>
      <c r="AW150" s="3" t="str">
        <f t="shared" si="205"/>
        <v>15.72 Per 15 minutes</v>
      </c>
      <c r="AX150" s="3" t="str">
        <f t="shared" si="216"/>
        <v>14.56 Per 15 minutes</v>
      </c>
      <c r="AY150" s="3" t="s">
        <v>125</v>
      </c>
      <c r="AZ150" s="4" t="s">
        <v>400</v>
      </c>
      <c r="BA150" s="4" t="s">
        <v>126</v>
      </c>
      <c r="BB150" s="8">
        <v>0</v>
      </c>
      <c r="BC150" s="8">
        <v>0</v>
      </c>
      <c r="BD150" s="8">
        <v>0</v>
      </c>
      <c r="BE150" s="4" t="s">
        <v>112</v>
      </c>
      <c r="BF150" s="3" t="str">
        <f t="shared" si="207"/>
        <v>16.55 Per 15 minutes</v>
      </c>
      <c r="BG150" s="8" t="str">
        <f t="shared" si="208"/>
        <v>15.72 Per 15 minutes</v>
      </c>
      <c r="BH150" s="4" t="s">
        <v>83</v>
      </c>
      <c r="BI150" s="4" t="s">
        <v>83</v>
      </c>
      <c r="BJ150" s="3" t="str">
        <f t="shared" si="209"/>
        <v>15.72 Per 15 minutes</v>
      </c>
      <c r="BK150" s="3" t="str">
        <f t="shared" si="210"/>
        <v>16.55 Per 15 minutes</v>
      </c>
      <c r="BL150" s="4" t="s">
        <v>391</v>
      </c>
      <c r="BM150" s="7" t="s">
        <v>126</v>
      </c>
      <c r="BN150" s="3" t="str">
        <f>AU150</f>
        <v>8.61 Per 15 minutes</v>
      </c>
      <c r="BO150" s="3" t="s">
        <v>416</v>
      </c>
    </row>
    <row r="151" spans="1:67" ht="19.5" customHeight="1">
      <c r="A151" s="10">
        <f t="shared" si="214"/>
        <v>150</v>
      </c>
      <c r="B151" s="6">
        <v>97110</v>
      </c>
      <c r="C151" s="6">
        <v>4209711000</v>
      </c>
      <c r="D151" s="30" t="s">
        <v>235</v>
      </c>
      <c r="E151" s="6" t="s">
        <v>89</v>
      </c>
      <c r="F151" s="45">
        <v>99.15</v>
      </c>
      <c r="G151" s="6">
        <v>420</v>
      </c>
      <c r="H151" s="48">
        <v>0</v>
      </c>
      <c r="I151" s="6">
        <v>0</v>
      </c>
      <c r="J151" s="8">
        <v>120</v>
      </c>
      <c r="K151" s="24" t="s">
        <v>113</v>
      </c>
      <c r="L151" s="3">
        <v>33.38</v>
      </c>
      <c r="M151" s="3">
        <v>10.96</v>
      </c>
      <c r="N151" s="8" t="str">
        <f>CONCATENATE(ROUND(21.53*1.8,2)," ",K151)</f>
        <v>38.75 Per 15 minutes</v>
      </c>
      <c r="O151" s="8" t="str">
        <f t="shared" si="187"/>
        <v>33.38 Per 15 minutes</v>
      </c>
      <c r="P151" s="7" t="s">
        <v>123</v>
      </c>
      <c r="Q151" s="3" t="str">
        <f t="shared" si="188"/>
        <v>33.38 Per 15 minutes</v>
      </c>
      <c r="R151" s="3" t="str">
        <f t="shared" si="189"/>
        <v>36.72 Per 15 minutes</v>
      </c>
      <c r="S151" s="3" t="str">
        <f t="shared" si="190"/>
        <v>33.38 Per 15 minutes</v>
      </c>
      <c r="T151" s="4" t="s">
        <v>388</v>
      </c>
      <c r="U151" s="4" t="s">
        <v>389</v>
      </c>
      <c r="V151" s="3" t="str">
        <f t="shared" si="191"/>
        <v>33.38 Per 15 minutes</v>
      </c>
      <c r="W151" s="3" t="str">
        <f t="shared" si="192"/>
        <v>33.38 Per 15 minutes</v>
      </c>
      <c r="X151" s="3" t="str">
        <f t="shared" si="193"/>
        <v>33.38 Per 15 minutes</v>
      </c>
      <c r="Y151" s="4" t="s">
        <v>392</v>
      </c>
      <c r="Z151" s="3" t="str">
        <f t="shared" si="194"/>
        <v>31.71 Per 15 minutes</v>
      </c>
      <c r="AA151" s="3" t="str">
        <f t="shared" si="195"/>
        <v>31.71 Per 15 minutes</v>
      </c>
      <c r="AB151" s="3" t="str">
        <f t="shared" si="196"/>
        <v>33.38 Per 15 minutes</v>
      </c>
      <c r="AC151" s="3" t="str">
        <f t="shared" si="197"/>
        <v>35.05 Per 15 minutes</v>
      </c>
      <c r="AD151" s="3" t="str">
        <f t="shared" si="198"/>
        <v>33.38 Per 15 minutes</v>
      </c>
      <c r="AE151" s="3" t="str">
        <f t="shared" si="199"/>
        <v>33.38 Per 15 minutes</v>
      </c>
      <c r="AF151" s="3" t="str">
        <f t="shared" si="200"/>
        <v>30.71 Per 15 minutes</v>
      </c>
      <c r="AG151" s="3">
        <f t="shared" si="213"/>
        <v>69.405</v>
      </c>
      <c r="AH151" s="4" t="s">
        <v>111</v>
      </c>
      <c r="AI151" s="4" t="s">
        <v>111</v>
      </c>
      <c r="AJ151" s="4" t="s">
        <v>363</v>
      </c>
      <c r="AK151" s="3" t="str">
        <f t="shared" si="201"/>
        <v>33.38 Per 15 minutes</v>
      </c>
      <c r="AL151" s="3" t="str">
        <f t="shared" si="202"/>
        <v>33.38 Per 15 minutes</v>
      </c>
      <c r="AM151" s="4" t="s">
        <v>124</v>
      </c>
      <c r="AN151" s="4" t="s">
        <v>124</v>
      </c>
      <c r="AO151" s="4" t="s">
        <v>118</v>
      </c>
      <c r="AP151" s="4" t="s">
        <v>119</v>
      </c>
      <c r="AQ151" s="7" t="s">
        <v>83</v>
      </c>
      <c r="AR151" s="4" t="s">
        <v>117</v>
      </c>
      <c r="AS151" s="4" t="s">
        <v>111</v>
      </c>
      <c r="AT151" s="4" t="s">
        <v>126</v>
      </c>
      <c r="AU151" s="3" t="str">
        <f>CONCATENATE(ROUND(M151*1.1,2)," ",K151)</f>
        <v>12.06 Per 15 minutes</v>
      </c>
      <c r="AV151" s="3" t="str">
        <f t="shared" si="204"/>
        <v>33.38 Per 15 minutes</v>
      </c>
      <c r="AW151" s="3" t="str">
        <f t="shared" si="205"/>
        <v>31.71 Per 15 minutes</v>
      </c>
      <c r="AX151" s="3" t="str">
        <f t="shared" si="216"/>
        <v>29.37 Per 15 minutes</v>
      </c>
      <c r="AY151" s="3" t="s">
        <v>125</v>
      </c>
      <c r="AZ151" s="4" t="s">
        <v>400</v>
      </c>
      <c r="BA151" s="4" t="s">
        <v>126</v>
      </c>
      <c r="BB151" s="8">
        <v>0</v>
      </c>
      <c r="BC151" s="8">
        <v>0</v>
      </c>
      <c r="BD151" s="8">
        <v>0</v>
      </c>
      <c r="BE151" s="4" t="s">
        <v>112</v>
      </c>
      <c r="BF151" s="3" t="str">
        <f t="shared" si="207"/>
        <v>33.38 Per 15 minutes</v>
      </c>
      <c r="BG151" s="8" t="str">
        <f t="shared" si="208"/>
        <v>31.71 Per 15 minutes</v>
      </c>
      <c r="BH151" s="4" t="s">
        <v>83</v>
      </c>
      <c r="BI151" s="4" t="s">
        <v>83</v>
      </c>
      <c r="BJ151" s="3" t="str">
        <f t="shared" si="209"/>
        <v>31.71 Per 15 minutes</v>
      </c>
      <c r="BK151" s="3" t="str">
        <f t="shared" si="210"/>
        <v>33.38 Per 15 minutes</v>
      </c>
      <c r="BL151" s="4" t="s">
        <v>391</v>
      </c>
      <c r="BM151" s="7" t="s">
        <v>126</v>
      </c>
      <c r="BN151" s="3" t="str">
        <f>AU151</f>
        <v>12.06 Per 15 minutes</v>
      </c>
      <c r="BO151" s="3" t="s">
        <v>416</v>
      </c>
    </row>
    <row r="152" spans="1:67" ht="19.5" customHeight="1">
      <c r="A152" s="10">
        <f t="shared" si="214"/>
        <v>151</v>
      </c>
      <c r="B152" s="6">
        <v>92607</v>
      </c>
      <c r="C152" s="6">
        <v>4449260700</v>
      </c>
      <c r="D152" s="30" t="s">
        <v>206</v>
      </c>
      <c r="E152" s="11" t="s">
        <v>89</v>
      </c>
      <c r="F152" s="45">
        <v>416.34</v>
      </c>
      <c r="G152" s="6">
        <v>444</v>
      </c>
      <c r="H152" s="48">
        <v>0</v>
      </c>
      <c r="I152" s="6">
        <v>0</v>
      </c>
      <c r="J152" s="8">
        <v>400</v>
      </c>
      <c r="K152" s="24" t="s">
        <v>114</v>
      </c>
      <c r="L152" s="4">
        <v>140.98</v>
      </c>
      <c r="M152" s="1">
        <v>95.97</v>
      </c>
      <c r="N152" s="8" t="str">
        <f>CONCATENATE(ROUND(175.79*1.8,2)," ",K152)</f>
        <v>316.42 Per 60 minutes</v>
      </c>
      <c r="O152" s="8" t="str">
        <f t="shared" si="187"/>
        <v>140.98 Per 60 minutes</v>
      </c>
      <c r="P152" s="7" t="s">
        <v>123</v>
      </c>
      <c r="Q152" s="3" t="str">
        <f t="shared" si="188"/>
        <v>140.98 Per 60 minutes</v>
      </c>
      <c r="R152" s="3" t="str">
        <f t="shared" si="189"/>
        <v>155.08 Per 60 minutes</v>
      </c>
      <c r="S152" s="3" t="str">
        <f t="shared" si="190"/>
        <v>140.98 Per 60 minutes</v>
      </c>
      <c r="T152" s="4" t="s">
        <v>388</v>
      </c>
      <c r="U152" s="4" t="s">
        <v>389</v>
      </c>
      <c r="V152" s="3" t="str">
        <f t="shared" si="191"/>
        <v>140.98 Per 60 minutes</v>
      </c>
      <c r="W152" s="3" t="str">
        <f t="shared" si="192"/>
        <v>140.98 Per 60 minutes</v>
      </c>
      <c r="X152" s="3" t="str">
        <f t="shared" si="193"/>
        <v>140.98 Per 60 minutes</v>
      </c>
      <c r="Y152" s="4" t="s">
        <v>392</v>
      </c>
      <c r="Z152" s="3" t="str">
        <f t="shared" si="194"/>
        <v>133.93 Per 60 minutes</v>
      </c>
      <c r="AA152" s="3" t="str">
        <f t="shared" si="195"/>
        <v>133.93 Per 60 minutes</v>
      </c>
      <c r="AB152" s="3" t="str">
        <f t="shared" si="196"/>
        <v>140.98 Per 60 minutes</v>
      </c>
      <c r="AC152" s="3" t="str">
        <f t="shared" si="197"/>
        <v>148.03 Per 60 minutes</v>
      </c>
      <c r="AD152" s="3" t="str">
        <f t="shared" si="198"/>
        <v>140.98 Per 60 minutes</v>
      </c>
      <c r="AE152" s="3" t="str">
        <f t="shared" si="199"/>
        <v>140.98 Per 60 minutes</v>
      </c>
      <c r="AF152" s="3" t="str">
        <f t="shared" si="200"/>
        <v>129.7 Per 60 minutes</v>
      </c>
      <c r="AG152" s="3">
        <f t="shared" si="213"/>
        <v>291.438</v>
      </c>
      <c r="AH152" s="4" t="s">
        <v>111</v>
      </c>
      <c r="AI152" s="4" t="s">
        <v>111</v>
      </c>
      <c r="AJ152" s="4" t="s">
        <v>363</v>
      </c>
      <c r="AK152" s="3" t="str">
        <f t="shared" si="201"/>
        <v>140.98 Per 60 minutes</v>
      </c>
      <c r="AL152" s="3" t="str">
        <f t="shared" si="202"/>
        <v>140.98 Per 60 minutes</v>
      </c>
      <c r="AM152" s="4" t="s">
        <v>124</v>
      </c>
      <c r="AN152" s="4" t="s">
        <v>124</v>
      </c>
      <c r="AO152" s="4" t="s">
        <v>118</v>
      </c>
      <c r="AP152" s="4" t="s">
        <v>119</v>
      </c>
      <c r="AQ152" s="7" t="s">
        <v>83</v>
      </c>
      <c r="AR152" s="2" t="s">
        <v>282</v>
      </c>
      <c r="AS152" s="2" t="s">
        <v>282</v>
      </c>
      <c r="AT152" s="4" t="s">
        <v>126</v>
      </c>
      <c r="AU152" s="3" t="str">
        <f>CONCATENATE(ROUND(M152*1.1,2)," ",K152)</f>
        <v>105.57 Per 60 minutes</v>
      </c>
      <c r="AV152" s="3" t="str">
        <f t="shared" si="204"/>
        <v>140.98 Per 60 minutes</v>
      </c>
      <c r="AW152" s="3" t="str">
        <f t="shared" si="205"/>
        <v>133.93 Per 60 minutes</v>
      </c>
      <c r="AX152" s="3" t="str">
        <f t="shared" si="216"/>
        <v>124.06 Per 60 minutes</v>
      </c>
      <c r="AY152" s="3" t="s">
        <v>125</v>
      </c>
      <c r="AZ152" s="4" t="s">
        <v>400</v>
      </c>
      <c r="BA152" s="4" t="s">
        <v>126</v>
      </c>
      <c r="BB152" s="8">
        <v>0</v>
      </c>
      <c r="BC152" s="8">
        <v>0</v>
      </c>
      <c r="BD152" s="8">
        <v>0</v>
      </c>
      <c r="BE152" s="4" t="s">
        <v>112</v>
      </c>
      <c r="BF152" s="3" t="str">
        <f t="shared" si="207"/>
        <v>140.98 Per 60 minutes</v>
      </c>
      <c r="BG152" s="8" t="str">
        <f t="shared" si="208"/>
        <v>133.93 Per 60 minutes</v>
      </c>
      <c r="BH152" s="4" t="s">
        <v>83</v>
      </c>
      <c r="BI152" s="4" t="s">
        <v>83</v>
      </c>
      <c r="BJ152" s="3" t="str">
        <f t="shared" si="209"/>
        <v>133.93 Per 60 minutes</v>
      </c>
      <c r="BK152" s="3" t="str">
        <f t="shared" si="210"/>
        <v>140.98 Per 60 minutes</v>
      </c>
      <c r="BL152" s="4" t="s">
        <v>391</v>
      </c>
      <c r="BM152" s="7" t="s">
        <v>126</v>
      </c>
      <c r="BN152" s="3" t="str">
        <f>AU152</f>
        <v>105.57 Per 60 minutes</v>
      </c>
      <c r="BO152" s="3" t="str">
        <f>N152</f>
        <v>316.42 Per 60 minutes</v>
      </c>
    </row>
    <row r="153" spans="1:67" ht="19.5" customHeight="1">
      <c r="A153" s="10">
        <f t="shared" si="214"/>
        <v>152</v>
      </c>
      <c r="B153" s="10">
        <v>871</v>
      </c>
      <c r="C153" s="11" t="s">
        <v>378</v>
      </c>
      <c r="D153" s="30" t="s">
        <v>136</v>
      </c>
      <c r="E153" s="11" t="s">
        <v>372</v>
      </c>
      <c r="F153" s="42">
        <v>47443.08632075472</v>
      </c>
      <c r="G153" s="11" t="s">
        <v>378</v>
      </c>
      <c r="H153" s="48">
        <v>0</v>
      </c>
      <c r="I153" s="6">
        <v>5</v>
      </c>
      <c r="J153" s="8">
        <f aca="true" t="shared" si="217" ref="J153:J191">L153*1.3</f>
        <v>19257.953</v>
      </c>
      <c r="K153" s="52" t="s">
        <v>382</v>
      </c>
      <c r="L153" s="17">
        <v>14813.81</v>
      </c>
      <c r="M153" s="17">
        <v>20434.94</v>
      </c>
      <c r="N153" s="12">
        <f>1.8663*10804.5</f>
        <v>20164.43835</v>
      </c>
      <c r="O153" s="8">
        <f aca="true" t="shared" si="218" ref="O153:O191">L153</f>
        <v>14813.81</v>
      </c>
      <c r="P153" s="8">
        <f>1.25*L153</f>
        <v>18517.2625</v>
      </c>
      <c r="Q153" s="14">
        <v>0</v>
      </c>
      <c r="R153" s="14">
        <v>0</v>
      </c>
      <c r="S153" s="9">
        <f aca="true" t="shared" si="219" ref="S153:S191">L153</f>
        <v>14813.81</v>
      </c>
      <c r="T153" s="21">
        <f aca="true" t="shared" si="220" ref="T153:T160">3950*I153</f>
        <v>19750</v>
      </c>
      <c r="U153" s="54">
        <f>1.9572*10568</f>
        <v>20683.6896</v>
      </c>
      <c r="V153" s="9">
        <f aca="true" t="shared" si="221" ref="V153:V191">L153</f>
        <v>14813.81</v>
      </c>
      <c r="W153" s="12">
        <f>L153</f>
        <v>14813.81</v>
      </c>
      <c r="X153" s="8">
        <f aca="true" t="shared" si="222" ref="X153:X191">L153</f>
        <v>14813.81</v>
      </c>
      <c r="Y153" s="12">
        <f>2202*I153</f>
        <v>11010</v>
      </c>
      <c r="Z153" s="12">
        <f aca="true" t="shared" si="223" ref="Z153:Z191">L153*0.95</f>
        <v>14073.119499999999</v>
      </c>
      <c r="AA153" s="12">
        <f aca="true" t="shared" si="224" ref="AA153:AA191">L153*0.9</f>
        <v>13332.429</v>
      </c>
      <c r="AB153" s="14">
        <v>0</v>
      </c>
      <c r="AC153" s="14">
        <v>0</v>
      </c>
      <c r="AD153" s="8">
        <f aca="true" t="shared" si="225" ref="AD153:AD191">L153</f>
        <v>14813.81</v>
      </c>
      <c r="AE153" s="8">
        <f aca="true" t="shared" si="226" ref="AE153:AE191">L153</f>
        <v>14813.81</v>
      </c>
      <c r="AF153" s="14">
        <v>0</v>
      </c>
      <c r="AG153" s="7">
        <f t="shared" si="213"/>
        <v>33210.1604245283</v>
      </c>
      <c r="AH153" s="12">
        <f>L153*1.1</f>
        <v>16295.191</v>
      </c>
      <c r="AI153" s="8">
        <f>L153</f>
        <v>14813.81</v>
      </c>
      <c r="AJ153" s="14">
        <f aca="true" t="shared" si="227" ref="AJ153:AJ191">L153*1.37</f>
        <v>20294.919700000002</v>
      </c>
      <c r="AK153" s="8">
        <f aca="true" t="shared" si="228" ref="AK153:AK191">L153</f>
        <v>14813.81</v>
      </c>
      <c r="AL153" s="8">
        <f aca="true" t="shared" si="229" ref="AL153:AL191">L153</f>
        <v>14813.81</v>
      </c>
      <c r="AM153" s="8">
        <f aca="true" t="shared" si="230" ref="AM153:AM191">L153*1.1</f>
        <v>16295.191</v>
      </c>
      <c r="AN153" s="8">
        <f aca="true" t="shared" si="231" ref="AN153:AN191">L153</f>
        <v>14813.81</v>
      </c>
      <c r="AO153" s="8">
        <f aca="true" t="shared" si="232" ref="AO153:AO191">M153</f>
        <v>20434.94</v>
      </c>
      <c r="AP153" s="8">
        <f aca="true" t="shared" si="233" ref="AP153:AP191">L153</f>
        <v>14813.81</v>
      </c>
      <c r="AQ153" s="7">
        <f aca="true" t="shared" si="234" ref="AQ153:AQ191">F153*0.5</f>
        <v>23721.54316037736</v>
      </c>
      <c r="AR153" s="17">
        <f aca="true" t="shared" si="235" ref="AR153:AR191">M153</f>
        <v>20434.94</v>
      </c>
      <c r="AS153" s="8">
        <f aca="true" t="shared" si="236" ref="AS153:AS191">L153</f>
        <v>14813.81</v>
      </c>
      <c r="AT153" s="12">
        <f>2806*I153</f>
        <v>14030</v>
      </c>
      <c r="AU153" s="8">
        <f aca="true" t="shared" si="237" ref="AU153:AU191">M153*1.1</f>
        <v>22478.434</v>
      </c>
      <c r="AV153" s="8">
        <f aca="true" t="shared" si="238" ref="AV153:AV191">L153</f>
        <v>14813.81</v>
      </c>
      <c r="AW153" s="7">
        <f aca="true" t="shared" si="239" ref="AW153:AW191">L153*0.95</f>
        <v>14073.119499999999</v>
      </c>
      <c r="AX153" s="8" t="str">
        <f t="shared" si="216"/>
        <v>13036.15 IPPS</v>
      </c>
      <c r="AY153" s="14">
        <v>0</v>
      </c>
      <c r="AZ153" s="14">
        <v>0</v>
      </c>
      <c r="BA153" s="14">
        <v>0</v>
      </c>
      <c r="BB153" s="12">
        <f>L153</f>
        <v>14813.81</v>
      </c>
      <c r="BC153" s="12">
        <f>L153*1.1</f>
        <v>16295.191</v>
      </c>
      <c r="BD153" s="12">
        <f>L153*0.9</f>
        <v>13332.429</v>
      </c>
      <c r="BE153" s="14">
        <v>0</v>
      </c>
      <c r="BF153" s="14">
        <v>0</v>
      </c>
      <c r="BG153" s="14">
        <v>0</v>
      </c>
      <c r="BH153" s="8">
        <f aca="true" t="shared" si="240" ref="BH153:BH191">L153*1.2</f>
        <v>17776.572</v>
      </c>
      <c r="BI153" s="8">
        <f aca="true" t="shared" si="241" ref="BI153:BI191">L153</f>
        <v>14813.81</v>
      </c>
      <c r="BJ153" s="8">
        <f aca="true" t="shared" si="242" ref="BJ153:BJ191">L153*0.95</f>
        <v>14073.119499999999</v>
      </c>
      <c r="BK153" s="8">
        <f aca="true" t="shared" si="243" ref="BK153:BK191">L153</f>
        <v>14813.81</v>
      </c>
      <c r="BL153" s="58">
        <f>1.9572*9755</f>
        <v>19092.486</v>
      </c>
      <c r="BM153" s="8">
        <f aca="true" t="shared" si="244" ref="BM153:BM191">L153</f>
        <v>14813.81</v>
      </c>
      <c r="BN153" s="8">
        <f aca="true" t="shared" si="245" ref="BN153:BN191">MIN(N153:BM153)</f>
        <v>0</v>
      </c>
      <c r="BO153" s="8">
        <f aca="true" t="shared" si="246" ref="BO153:BO184">MAX(N153:BM153)</f>
        <v>33210.1604245283</v>
      </c>
    </row>
    <row r="154" spans="1:67" ht="19.5" customHeight="1">
      <c r="A154" s="10">
        <f t="shared" si="214"/>
        <v>153</v>
      </c>
      <c r="B154" s="10">
        <v>291</v>
      </c>
      <c r="C154" s="11" t="s">
        <v>378</v>
      </c>
      <c r="D154" s="30" t="s">
        <v>135</v>
      </c>
      <c r="E154" s="11" t="s">
        <v>372</v>
      </c>
      <c r="F154" s="42">
        <v>37667.88766666666</v>
      </c>
      <c r="G154" s="11" t="s">
        <v>378</v>
      </c>
      <c r="H154" s="48">
        <v>0</v>
      </c>
      <c r="I154" s="6">
        <v>4</v>
      </c>
      <c r="J154" s="8">
        <f t="shared" si="217"/>
        <v>13885.144</v>
      </c>
      <c r="K154" s="52" t="s">
        <v>382</v>
      </c>
      <c r="L154" s="17">
        <v>10680.88</v>
      </c>
      <c r="M154" s="17">
        <v>3809.43</v>
      </c>
      <c r="N154" s="12">
        <f>1.2915*10804.5</f>
        <v>13954.011750000001</v>
      </c>
      <c r="O154" s="8">
        <f t="shared" si="218"/>
        <v>10680.88</v>
      </c>
      <c r="P154" s="8">
        <f aca="true" t="shared" si="247" ref="P154:P164">1.25*L154</f>
        <v>13351.099999999999</v>
      </c>
      <c r="Q154" s="14">
        <v>0</v>
      </c>
      <c r="R154" s="14">
        <v>0</v>
      </c>
      <c r="S154" s="9">
        <f t="shared" si="219"/>
        <v>10680.88</v>
      </c>
      <c r="T154" s="21">
        <f t="shared" si="220"/>
        <v>15800</v>
      </c>
      <c r="U154" s="54">
        <f>1.2798*10568</f>
        <v>13524.9264</v>
      </c>
      <c r="V154" s="9">
        <f t="shared" si="221"/>
        <v>10680.88</v>
      </c>
      <c r="W154" s="12">
        <f>L154</f>
        <v>10680.88</v>
      </c>
      <c r="X154" s="8">
        <f t="shared" si="222"/>
        <v>10680.88</v>
      </c>
      <c r="Y154" s="12">
        <f>2202*I154</f>
        <v>8808</v>
      </c>
      <c r="Z154" s="12">
        <f t="shared" si="223"/>
        <v>10146.836</v>
      </c>
      <c r="AA154" s="12">
        <f t="shared" si="224"/>
        <v>9612.792</v>
      </c>
      <c r="AB154" s="14">
        <v>0</v>
      </c>
      <c r="AC154" s="14">
        <v>0</v>
      </c>
      <c r="AD154" s="8">
        <f t="shared" si="225"/>
        <v>10680.88</v>
      </c>
      <c r="AE154" s="8">
        <f t="shared" si="226"/>
        <v>10680.88</v>
      </c>
      <c r="AF154" s="14">
        <v>0</v>
      </c>
      <c r="AG154" s="7">
        <f t="shared" si="213"/>
        <v>26367.52136666666</v>
      </c>
      <c r="AH154" s="12">
        <f aca="true" t="shared" si="248" ref="AH154:AH191">L154*1.1</f>
        <v>11748.968</v>
      </c>
      <c r="AI154" s="8">
        <f aca="true" t="shared" si="249" ref="AI154:AI191">L154</f>
        <v>10680.88</v>
      </c>
      <c r="AJ154" s="14">
        <f t="shared" si="227"/>
        <v>14632.8056</v>
      </c>
      <c r="AK154" s="8">
        <f t="shared" si="228"/>
        <v>10680.88</v>
      </c>
      <c r="AL154" s="8">
        <f t="shared" si="229"/>
        <v>10680.88</v>
      </c>
      <c r="AM154" s="8">
        <f t="shared" si="230"/>
        <v>11748.968</v>
      </c>
      <c r="AN154" s="8">
        <f t="shared" si="231"/>
        <v>10680.88</v>
      </c>
      <c r="AO154" s="8">
        <f t="shared" si="232"/>
        <v>3809.43</v>
      </c>
      <c r="AP154" s="8">
        <f t="shared" si="233"/>
        <v>10680.88</v>
      </c>
      <c r="AQ154" s="7">
        <f t="shared" si="234"/>
        <v>18833.94383333333</v>
      </c>
      <c r="AR154" s="17">
        <f t="shared" si="235"/>
        <v>3809.43</v>
      </c>
      <c r="AS154" s="8">
        <f t="shared" si="236"/>
        <v>10680.88</v>
      </c>
      <c r="AT154" s="12">
        <f>2806*I154</f>
        <v>11224</v>
      </c>
      <c r="AU154" s="8">
        <f t="shared" si="237"/>
        <v>4190.3730000000005</v>
      </c>
      <c r="AV154" s="8">
        <f t="shared" si="238"/>
        <v>10680.88</v>
      </c>
      <c r="AW154" s="7">
        <f t="shared" si="239"/>
        <v>10146.836</v>
      </c>
      <c r="AX154" s="8" t="str">
        <f t="shared" si="216"/>
        <v>9399.17 IPPS</v>
      </c>
      <c r="AY154" s="14">
        <v>0</v>
      </c>
      <c r="AZ154" s="14">
        <v>0</v>
      </c>
      <c r="BA154" s="14">
        <v>0</v>
      </c>
      <c r="BB154" s="12">
        <f aca="true" t="shared" si="250" ref="BB154:BB217">L154</f>
        <v>10680.88</v>
      </c>
      <c r="BC154" s="12">
        <f aca="true" t="shared" si="251" ref="BC154:BC217">L154*1.1</f>
        <v>11748.968</v>
      </c>
      <c r="BD154" s="12">
        <f aca="true" t="shared" si="252" ref="BD154:BD217">L154*0.9</f>
        <v>9612.792</v>
      </c>
      <c r="BE154" s="14">
        <v>0</v>
      </c>
      <c r="BF154" s="14">
        <v>0</v>
      </c>
      <c r="BG154" s="14">
        <v>0</v>
      </c>
      <c r="BH154" s="8">
        <f t="shared" si="240"/>
        <v>12817.055999999999</v>
      </c>
      <c r="BI154" s="8">
        <f t="shared" si="241"/>
        <v>10680.88</v>
      </c>
      <c r="BJ154" s="8">
        <f t="shared" si="242"/>
        <v>10146.836</v>
      </c>
      <c r="BK154" s="8">
        <f t="shared" si="243"/>
        <v>10680.88</v>
      </c>
      <c r="BL154" s="58">
        <f>1.2798*9755</f>
        <v>12484.449</v>
      </c>
      <c r="BM154" s="8">
        <f t="shared" si="244"/>
        <v>10680.88</v>
      </c>
      <c r="BN154" s="8">
        <f t="shared" si="245"/>
        <v>0</v>
      </c>
      <c r="BO154" s="8">
        <f t="shared" si="246"/>
        <v>26367.52136666666</v>
      </c>
    </row>
    <row r="155" spans="1:67" ht="19.5" customHeight="1">
      <c r="A155" s="10">
        <f t="shared" si="214"/>
        <v>154</v>
      </c>
      <c r="B155" s="10">
        <v>853</v>
      </c>
      <c r="C155" s="11" t="s">
        <v>378</v>
      </c>
      <c r="D155" s="30" t="s">
        <v>139</v>
      </c>
      <c r="E155" s="11" t="s">
        <v>372</v>
      </c>
      <c r="F155" s="42">
        <f>104676.571875</f>
        <v>104676.571875</v>
      </c>
      <c r="G155" s="11" t="s">
        <v>378</v>
      </c>
      <c r="H155" s="48">
        <v>0</v>
      </c>
      <c r="I155" s="6">
        <v>10</v>
      </c>
      <c r="J155" s="8">
        <f t="shared" si="217"/>
        <v>50604.294</v>
      </c>
      <c r="K155" s="52" t="s">
        <v>382</v>
      </c>
      <c r="L155" s="17">
        <v>38926.38</v>
      </c>
      <c r="M155" s="17">
        <v>7942.22</v>
      </c>
      <c r="N155" s="12">
        <f>5.0986*10804.5</f>
        <v>55087.8237</v>
      </c>
      <c r="O155" s="8">
        <f t="shared" si="218"/>
        <v>38926.38</v>
      </c>
      <c r="P155" s="8">
        <f t="shared" si="247"/>
        <v>48657.975</v>
      </c>
      <c r="Q155" s="14">
        <v>0</v>
      </c>
      <c r="R155" s="14">
        <v>0</v>
      </c>
      <c r="S155" s="9">
        <f t="shared" si="219"/>
        <v>38926.38</v>
      </c>
      <c r="T155" s="21">
        <f t="shared" si="220"/>
        <v>39500</v>
      </c>
      <c r="U155" s="54">
        <f>4.901*10568</f>
        <v>51793.768</v>
      </c>
      <c r="V155" s="9">
        <f t="shared" si="221"/>
        <v>38926.38</v>
      </c>
      <c r="W155" s="12">
        <f aca="true" t="shared" si="253" ref="W155:W191">L155</f>
        <v>38926.38</v>
      </c>
      <c r="X155" s="14">
        <f t="shared" si="222"/>
        <v>38926.38</v>
      </c>
      <c r="Y155" s="12">
        <f aca="true" t="shared" si="254" ref="Y155:Y191">2202*I155</f>
        <v>22020</v>
      </c>
      <c r="Z155" s="12">
        <f t="shared" si="223"/>
        <v>36980.060999999994</v>
      </c>
      <c r="AA155" s="12">
        <f t="shared" si="224"/>
        <v>35033.742</v>
      </c>
      <c r="AB155" s="14">
        <v>0</v>
      </c>
      <c r="AC155" s="14">
        <v>0</v>
      </c>
      <c r="AD155" s="14">
        <f t="shared" si="225"/>
        <v>38926.38</v>
      </c>
      <c r="AE155" s="14">
        <f t="shared" si="226"/>
        <v>38926.38</v>
      </c>
      <c r="AF155" s="14">
        <v>0</v>
      </c>
      <c r="AG155" s="7">
        <f t="shared" si="213"/>
        <v>73273.60031249998</v>
      </c>
      <c r="AH155" s="12">
        <f t="shared" si="248"/>
        <v>42819.018000000004</v>
      </c>
      <c r="AI155" s="8">
        <f t="shared" si="249"/>
        <v>38926.38</v>
      </c>
      <c r="AJ155" s="14">
        <f t="shared" si="227"/>
        <v>53329.1406</v>
      </c>
      <c r="AK155" s="14">
        <f t="shared" si="228"/>
        <v>38926.38</v>
      </c>
      <c r="AL155" s="14">
        <f t="shared" si="229"/>
        <v>38926.38</v>
      </c>
      <c r="AM155" s="8">
        <f t="shared" si="230"/>
        <v>42819.018000000004</v>
      </c>
      <c r="AN155" s="8">
        <f t="shared" si="231"/>
        <v>38926.38</v>
      </c>
      <c r="AO155" s="8">
        <f t="shared" si="232"/>
        <v>7942.22</v>
      </c>
      <c r="AP155" s="14">
        <f t="shared" si="233"/>
        <v>38926.38</v>
      </c>
      <c r="AQ155" s="7">
        <f t="shared" si="234"/>
        <v>52338.2859375</v>
      </c>
      <c r="AR155" s="17">
        <f t="shared" si="235"/>
        <v>7942.22</v>
      </c>
      <c r="AS155" s="14">
        <f t="shared" si="236"/>
        <v>38926.38</v>
      </c>
      <c r="AT155" s="12">
        <f>2806*I155</f>
        <v>28060</v>
      </c>
      <c r="AU155" s="8">
        <f t="shared" si="237"/>
        <v>8736.442000000001</v>
      </c>
      <c r="AV155" s="14">
        <f t="shared" si="238"/>
        <v>38926.38</v>
      </c>
      <c r="AW155" s="7">
        <f t="shared" si="239"/>
        <v>36980.060999999994</v>
      </c>
      <c r="AX155" s="8" t="str">
        <f t="shared" si="216"/>
        <v>34255.21 IPPS</v>
      </c>
      <c r="AY155" s="14">
        <v>0</v>
      </c>
      <c r="AZ155" s="14">
        <v>0</v>
      </c>
      <c r="BA155" s="14">
        <v>0</v>
      </c>
      <c r="BB155" s="12">
        <f t="shared" si="250"/>
        <v>38926.38</v>
      </c>
      <c r="BC155" s="12">
        <f t="shared" si="251"/>
        <v>42819.018000000004</v>
      </c>
      <c r="BD155" s="12">
        <f t="shared" si="252"/>
        <v>35033.742</v>
      </c>
      <c r="BE155" s="14">
        <v>0</v>
      </c>
      <c r="BF155" s="14">
        <v>0</v>
      </c>
      <c r="BG155" s="14">
        <v>0</v>
      </c>
      <c r="BH155" s="8">
        <f t="shared" si="240"/>
        <v>46711.655999999995</v>
      </c>
      <c r="BI155" s="14">
        <f t="shared" si="241"/>
        <v>38926.38</v>
      </c>
      <c r="BJ155" s="8">
        <f t="shared" si="242"/>
        <v>36980.060999999994</v>
      </c>
      <c r="BK155" s="14">
        <f t="shared" si="243"/>
        <v>38926.38</v>
      </c>
      <c r="BL155" s="58">
        <f>4.901*9755</f>
        <v>47809.255</v>
      </c>
      <c r="BM155" s="14">
        <f t="shared" si="244"/>
        <v>38926.38</v>
      </c>
      <c r="BN155" s="8">
        <f t="shared" si="245"/>
        <v>0</v>
      </c>
      <c r="BO155" s="8">
        <f t="shared" si="246"/>
        <v>73273.60031249998</v>
      </c>
    </row>
    <row r="156" spans="1:67" ht="19.5" customHeight="1">
      <c r="A156" s="10">
        <f t="shared" si="214"/>
        <v>155</v>
      </c>
      <c r="B156" s="10">
        <v>434</v>
      </c>
      <c r="C156" s="11" t="s">
        <v>378</v>
      </c>
      <c r="D156" s="30" t="s">
        <v>141</v>
      </c>
      <c r="E156" s="11" t="s">
        <v>372</v>
      </c>
      <c r="F156" s="42">
        <v>27403.056249999998</v>
      </c>
      <c r="G156" s="11" t="s">
        <v>378</v>
      </c>
      <c r="H156" s="48">
        <v>0</v>
      </c>
      <c r="I156" s="6">
        <v>2</v>
      </c>
      <c r="J156" s="8">
        <f t="shared" si="217"/>
        <v>6535.594</v>
      </c>
      <c r="K156" s="52" t="s">
        <v>382</v>
      </c>
      <c r="L156" s="17">
        <v>5027.38</v>
      </c>
      <c r="M156" s="17">
        <v>3535.35</v>
      </c>
      <c r="N156" s="12">
        <f>3.4348*10804.5</f>
        <v>37111.2966</v>
      </c>
      <c r="O156" s="8">
        <f t="shared" si="218"/>
        <v>5027.38</v>
      </c>
      <c r="P156" s="8">
        <f t="shared" si="247"/>
        <v>6284.225</v>
      </c>
      <c r="Q156" s="14">
        <v>0</v>
      </c>
      <c r="R156" s="14">
        <v>0</v>
      </c>
      <c r="S156" s="9">
        <f t="shared" si="219"/>
        <v>5027.38</v>
      </c>
      <c r="T156" s="21">
        <f t="shared" si="220"/>
        <v>7900</v>
      </c>
      <c r="U156" s="54">
        <f>0.6277*10568</f>
        <v>6633.533600000001</v>
      </c>
      <c r="V156" s="8">
        <f t="shared" si="221"/>
        <v>5027.38</v>
      </c>
      <c r="W156" s="12">
        <f t="shared" si="253"/>
        <v>5027.38</v>
      </c>
      <c r="X156" s="8">
        <f t="shared" si="222"/>
        <v>5027.38</v>
      </c>
      <c r="Y156" s="12">
        <f t="shared" si="254"/>
        <v>4404</v>
      </c>
      <c r="Z156" s="12">
        <f t="shared" si="223"/>
        <v>4776.0109999999995</v>
      </c>
      <c r="AA156" s="12">
        <f t="shared" si="224"/>
        <v>4524.642</v>
      </c>
      <c r="AB156" s="14">
        <v>0</v>
      </c>
      <c r="AC156" s="14">
        <v>0</v>
      </c>
      <c r="AD156" s="8">
        <f t="shared" si="225"/>
        <v>5027.38</v>
      </c>
      <c r="AE156" s="8">
        <f t="shared" si="226"/>
        <v>5027.38</v>
      </c>
      <c r="AF156" s="14">
        <v>0</v>
      </c>
      <c r="AG156" s="7">
        <f t="shared" si="213"/>
        <v>19182.139375</v>
      </c>
      <c r="AH156" s="12">
        <f t="shared" si="248"/>
        <v>5530.118</v>
      </c>
      <c r="AI156" s="8">
        <f t="shared" si="249"/>
        <v>5027.38</v>
      </c>
      <c r="AJ156" s="14">
        <f t="shared" si="227"/>
        <v>6887.5106000000005</v>
      </c>
      <c r="AK156" s="8">
        <f t="shared" si="228"/>
        <v>5027.38</v>
      </c>
      <c r="AL156" s="8">
        <f t="shared" si="229"/>
        <v>5027.38</v>
      </c>
      <c r="AM156" s="8">
        <f t="shared" si="230"/>
        <v>5530.118</v>
      </c>
      <c r="AN156" s="8">
        <f t="shared" si="231"/>
        <v>5027.38</v>
      </c>
      <c r="AO156" s="8">
        <f t="shared" si="232"/>
        <v>3535.35</v>
      </c>
      <c r="AP156" s="8">
        <f t="shared" si="233"/>
        <v>5027.38</v>
      </c>
      <c r="AQ156" s="7">
        <f t="shared" si="234"/>
        <v>13701.528124999999</v>
      </c>
      <c r="AR156" s="17">
        <f t="shared" si="235"/>
        <v>3535.35</v>
      </c>
      <c r="AS156" s="8">
        <f t="shared" si="236"/>
        <v>5027.38</v>
      </c>
      <c r="AT156" s="12">
        <f>2806*I156</f>
        <v>5612</v>
      </c>
      <c r="AU156" s="8">
        <f t="shared" si="237"/>
        <v>3888.885</v>
      </c>
      <c r="AV156" s="8">
        <f t="shared" si="238"/>
        <v>5027.38</v>
      </c>
      <c r="AW156" s="7">
        <f t="shared" si="239"/>
        <v>4776.0109999999995</v>
      </c>
      <c r="AX156" s="8" t="str">
        <f t="shared" si="216"/>
        <v>4424.09 IPPS</v>
      </c>
      <c r="AY156" s="14">
        <v>0</v>
      </c>
      <c r="AZ156" s="14">
        <v>0</v>
      </c>
      <c r="BA156" s="14">
        <v>0</v>
      </c>
      <c r="BB156" s="12">
        <f t="shared" si="250"/>
        <v>5027.38</v>
      </c>
      <c r="BC156" s="12">
        <f t="shared" si="251"/>
        <v>5530.118</v>
      </c>
      <c r="BD156" s="12">
        <f t="shared" si="252"/>
        <v>4524.642</v>
      </c>
      <c r="BE156" s="14">
        <v>0</v>
      </c>
      <c r="BF156" s="14">
        <v>0</v>
      </c>
      <c r="BG156" s="14">
        <v>0</v>
      </c>
      <c r="BH156" s="8">
        <f t="shared" si="240"/>
        <v>6032.856</v>
      </c>
      <c r="BI156" s="8">
        <f t="shared" si="241"/>
        <v>5027.38</v>
      </c>
      <c r="BJ156" s="8">
        <f t="shared" si="242"/>
        <v>4776.0109999999995</v>
      </c>
      <c r="BK156" s="8">
        <f t="shared" si="243"/>
        <v>5027.38</v>
      </c>
      <c r="BL156" s="58">
        <f>0.6277*9755</f>
        <v>6123.213500000001</v>
      </c>
      <c r="BM156" s="8">
        <f t="shared" si="244"/>
        <v>5027.38</v>
      </c>
      <c r="BN156" s="8">
        <f t="shared" si="245"/>
        <v>0</v>
      </c>
      <c r="BO156" s="8">
        <f t="shared" si="246"/>
        <v>37111.2966</v>
      </c>
    </row>
    <row r="157" spans="1:67" ht="19.5" customHeight="1">
      <c r="A157" s="10">
        <f t="shared" si="214"/>
        <v>156</v>
      </c>
      <c r="B157" s="10">
        <v>330</v>
      </c>
      <c r="C157" s="11" t="s">
        <v>378</v>
      </c>
      <c r="D157" s="30" t="s">
        <v>142</v>
      </c>
      <c r="E157" s="11" t="s">
        <v>372</v>
      </c>
      <c r="F157" s="42">
        <f>130632.006428571</f>
        <v>130632.006428571</v>
      </c>
      <c r="G157" s="11" t="s">
        <v>378</v>
      </c>
      <c r="H157" s="48">
        <v>0</v>
      </c>
      <c r="I157" s="6">
        <v>6</v>
      </c>
      <c r="J157" s="8">
        <f t="shared" si="217"/>
        <v>26092.924</v>
      </c>
      <c r="K157" s="52" t="s">
        <v>382</v>
      </c>
      <c r="L157" s="17">
        <v>20071.48</v>
      </c>
      <c r="M157" s="17">
        <v>10444.74</v>
      </c>
      <c r="N157" s="12">
        <f>2.5268*10804.5</f>
        <v>27300.8106</v>
      </c>
      <c r="O157" s="8">
        <f t="shared" si="218"/>
        <v>20071.48</v>
      </c>
      <c r="P157" s="8">
        <f t="shared" si="247"/>
        <v>25089.35</v>
      </c>
      <c r="Q157" s="14">
        <v>0</v>
      </c>
      <c r="R157" s="14">
        <v>0</v>
      </c>
      <c r="S157" s="9">
        <f t="shared" si="219"/>
        <v>20071.48</v>
      </c>
      <c r="T157" s="21">
        <f t="shared" si="220"/>
        <v>23700</v>
      </c>
      <c r="U157" s="54">
        <f>2.4554*10568</f>
        <v>25948.6672</v>
      </c>
      <c r="V157" s="9">
        <f t="shared" si="221"/>
        <v>20071.48</v>
      </c>
      <c r="W157" s="12">
        <f t="shared" si="253"/>
        <v>20071.48</v>
      </c>
      <c r="X157" s="14">
        <f t="shared" si="222"/>
        <v>20071.48</v>
      </c>
      <c r="Y157" s="12">
        <f t="shared" si="254"/>
        <v>13212</v>
      </c>
      <c r="Z157" s="12">
        <f t="shared" si="223"/>
        <v>19067.906</v>
      </c>
      <c r="AA157" s="12">
        <f t="shared" si="224"/>
        <v>18064.332</v>
      </c>
      <c r="AB157" s="14">
        <v>0</v>
      </c>
      <c r="AC157" s="14">
        <v>0</v>
      </c>
      <c r="AD157" s="14">
        <f t="shared" si="225"/>
        <v>20071.48</v>
      </c>
      <c r="AE157" s="14">
        <f t="shared" si="226"/>
        <v>20071.48</v>
      </c>
      <c r="AF157" s="14">
        <v>0</v>
      </c>
      <c r="AG157" s="7">
        <f t="shared" si="213"/>
        <v>91442.4044999997</v>
      </c>
      <c r="AH157" s="12">
        <f t="shared" si="248"/>
        <v>22078.628</v>
      </c>
      <c r="AI157" s="8">
        <f t="shared" si="249"/>
        <v>20071.48</v>
      </c>
      <c r="AJ157" s="14">
        <f t="shared" si="227"/>
        <v>27497.927600000003</v>
      </c>
      <c r="AK157" s="14">
        <f t="shared" si="228"/>
        <v>20071.48</v>
      </c>
      <c r="AL157" s="14">
        <f t="shared" si="229"/>
        <v>20071.48</v>
      </c>
      <c r="AM157" s="8">
        <f t="shared" si="230"/>
        <v>22078.628</v>
      </c>
      <c r="AN157" s="8">
        <f t="shared" si="231"/>
        <v>20071.48</v>
      </c>
      <c r="AO157" s="8">
        <f t="shared" si="232"/>
        <v>10444.74</v>
      </c>
      <c r="AP157" s="14">
        <f t="shared" si="233"/>
        <v>20071.48</v>
      </c>
      <c r="AQ157" s="7">
        <f t="shared" si="234"/>
        <v>65316.0032142855</v>
      </c>
      <c r="AR157" s="17">
        <f t="shared" si="235"/>
        <v>10444.74</v>
      </c>
      <c r="AS157" s="14">
        <f t="shared" si="236"/>
        <v>20071.48</v>
      </c>
      <c r="AT157" s="22">
        <f>(2806*5)+0.55*(F157-(F157/I157)*5)</f>
        <v>26004.600589285677</v>
      </c>
      <c r="AU157" s="8">
        <f t="shared" si="237"/>
        <v>11489.214</v>
      </c>
      <c r="AV157" s="14">
        <f t="shared" si="238"/>
        <v>20071.48</v>
      </c>
      <c r="AW157" s="7">
        <f t="shared" si="239"/>
        <v>19067.906</v>
      </c>
      <c r="AX157" s="8" t="str">
        <f t="shared" si="216"/>
        <v>17662.9 IPPS</v>
      </c>
      <c r="AY157" s="14">
        <v>0</v>
      </c>
      <c r="AZ157" s="14">
        <v>0</v>
      </c>
      <c r="BA157" s="14">
        <v>0</v>
      </c>
      <c r="BB157" s="12">
        <f t="shared" si="250"/>
        <v>20071.48</v>
      </c>
      <c r="BC157" s="12">
        <f t="shared" si="251"/>
        <v>22078.628</v>
      </c>
      <c r="BD157" s="12">
        <f t="shared" si="252"/>
        <v>18064.332</v>
      </c>
      <c r="BE157" s="14">
        <v>0</v>
      </c>
      <c r="BF157" s="14">
        <v>0</v>
      </c>
      <c r="BG157" s="14">
        <v>0</v>
      </c>
      <c r="BH157" s="8">
        <f t="shared" si="240"/>
        <v>24085.775999999998</v>
      </c>
      <c r="BI157" s="14">
        <f t="shared" si="241"/>
        <v>20071.48</v>
      </c>
      <c r="BJ157" s="8">
        <f t="shared" si="242"/>
        <v>19067.906</v>
      </c>
      <c r="BK157" s="14">
        <f t="shared" si="243"/>
        <v>20071.48</v>
      </c>
      <c r="BL157" s="58">
        <f>2.4554*9755</f>
        <v>23952.427</v>
      </c>
      <c r="BM157" s="14">
        <f t="shared" si="244"/>
        <v>20071.48</v>
      </c>
      <c r="BN157" s="8">
        <f t="shared" si="245"/>
        <v>0</v>
      </c>
      <c r="BO157" s="8">
        <f t="shared" si="246"/>
        <v>91442.4044999997</v>
      </c>
    </row>
    <row r="158" spans="1:67" ht="19.5" customHeight="1">
      <c r="A158" s="10">
        <f t="shared" si="214"/>
        <v>157</v>
      </c>
      <c r="B158" s="10">
        <v>177</v>
      </c>
      <c r="C158" s="11" t="s">
        <v>378</v>
      </c>
      <c r="D158" s="30" t="s">
        <v>143</v>
      </c>
      <c r="E158" s="11" t="s">
        <v>372</v>
      </c>
      <c r="F158" s="42">
        <v>42746.39142857143</v>
      </c>
      <c r="G158" s="11" t="s">
        <v>378</v>
      </c>
      <c r="H158" s="48">
        <v>0</v>
      </c>
      <c r="I158" s="6">
        <v>5</v>
      </c>
      <c r="J158" s="8">
        <f t="shared" si="217"/>
        <v>19024.629</v>
      </c>
      <c r="K158" s="52" t="s">
        <v>382</v>
      </c>
      <c r="L158" s="17">
        <v>14634.33</v>
      </c>
      <c r="M158" s="17">
        <v>8874.97</v>
      </c>
      <c r="N158" s="12">
        <f>1.8912*10804.5</f>
        <v>20433.4704</v>
      </c>
      <c r="O158" s="8">
        <f t="shared" si="218"/>
        <v>14634.33</v>
      </c>
      <c r="P158" s="8">
        <f t="shared" si="247"/>
        <v>18292.9125</v>
      </c>
      <c r="Q158" s="14">
        <v>0</v>
      </c>
      <c r="R158" s="14">
        <v>0</v>
      </c>
      <c r="S158" s="9">
        <f t="shared" si="219"/>
        <v>14634.33</v>
      </c>
      <c r="T158" s="21">
        <f t="shared" si="220"/>
        <v>19750</v>
      </c>
      <c r="U158" s="54">
        <f>1.7799*10568</f>
        <v>18809.9832</v>
      </c>
      <c r="V158" s="8">
        <f t="shared" si="221"/>
        <v>14634.33</v>
      </c>
      <c r="W158" s="12">
        <f t="shared" si="253"/>
        <v>14634.33</v>
      </c>
      <c r="X158" s="8">
        <f t="shared" si="222"/>
        <v>14634.33</v>
      </c>
      <c r="Y158" s="12">
        <f t="shared" si="254"/>
        <v>11010</v>
      </c>
      <c r="Z158" s="12">
        <f t="shared" si="223"/>
        <v>13902.6135</v>
      </c>
      <c r="AA158" s="12">
        <f t="shared" si="224"/>
        <v>13170.897</v>
      </c>
      <c r="AB158" s="14">
        <v>0</v>
      </c>
      <c r="AC158" s="14">
        <v>0</v>
      </c>
      <c r="AD158" s="8">
        <f t="shared" si="225"/>
        <v>14634.33</v>
      </c>
      <c r="AE158" s="8">
        <f t="shared" si="226"/>
        <v>14634.33</v>
      </c>
      <c r="AF158" s="14">
        <v>0</v>
      </c>
      <c r="AG158" s="7">
        <f t="shared" si="213"/>
        <v>29922.474</v>
      </c>
      <c r="AH158" s="12">
        <f t="shared" si="248"/>
        <v>16097.763</v>
      </c>
      <c r="AI158" s="8">
        <f t="shared" si="249"/>
        <v>14634.33</v>
      </c>
      <c r="AJ158" s="14">
        <f t="shared" si="227"/>
        <v>20049.0321</v>
      </c>
      <c r="AK158" s="8">
        <f t="shared" si="228"/>
        <v>14634.33</v>
      </c>
      <c r="AL158" s="8">
        <f t="shared" si="229"/>
        <v>14634.33</v>
      </c>
      <c r="AM158" s="8">
        <f t="shared" si="230"/>
        <v>16097.763</v>
      </c>
      <c r="AN158" s="8">
        <f t="shared" si="231"/>
        <v>14634.33</v>
      </c>
      <c r="AO158" s="8">
        <f t="shared" si="232"/>
        <v>8874.97</v>
      </c>
      <c r="AP158" s="8">
        <f t="shared" si="233"/>
        <v>14634.33</v>
      </c>
      <c r="AQ158" s="7">
        <f t="shared" si="234"/>
        <v>21373.195714285714</v>
      </c>
      <c r="AR158" s="17">
        <f t="shared" si="235"/>
        <v>8874.97</v>
      </c>
      <c r="AS158" s="8">
        <f t="shared" si="236"/>
        <v>14634.33</v>
      </c>
      <c r="AT158" s="12">
        <f aca="true" t="shared" si="255" ref="AT158:AT164">2806*I158</f>
        <v>14030</v>
      </c>
      <c r="AU158" s="8">
        <f t="shared" si="237"/>
        <v>9762.467</v>
      </c>
      <c r="AV158" s="8">
        <f t="shared" si="238"/>
        <v>14634.33</v>
      </c>
      <c r="AW158" s="7">
        <f t="shared" si="239"/>
        <v>13902.6135</v>
      </c>
      <c r="AX158" s="8" t="str">
        <f t="shared" si="216"/>
        <v>12878.21 IPPS</v>
      </c>
      <c r="AY158" s="14">
        <v>0</v>
      </c>
      <c r="AZ158" s="14">
        <v>0</v>
      </c>
      <c r="BA158" s="14">
        <v>0</v>
      </c>
      <c r="BB158" s="12">
        <f t="shared" si="250"/>
        <v>14634.33</v>
      </c>
      <c r="BC158" s="12">
        <f t="shared" si="251"/>
        <v>16097.763</v>
      </c>
      <c r="BD158" s="12">
        <f t="shared" si="252"/>
        <v>13170.897</v>
      </c>
      <c r="BE158" s="14">
        <v>0</v>
      </c>
      <c r="BF158" s="14">
        <v>0</v>
      </c>
      <c r="BG158" s="14">
        <v>0</v>
      </c>
      <c r="BH158" s="8">
        <f t="shared" si="240"/>
        <v>17561.196</v>
      </c>
      <c r="BI158" s="8">
        <f t="shared" si="241"/>
        <v>14634.33</v>
      </c>
      <c r="BJ158" s="8">
        <f t="shared" si="242"/>
        <v>13902.6135</v>
      </c>
      <c r="BK158" s="8">
        <f t="shared" si="243"/>
        <v>14634.33</v>
      </c>
      <c r="BL158" s="58">
        <f>1.7799*9755</f>
        <v>17362.9245</v>
      </c>
      <c r="BM158" s="8">
        <f t="shared" si="244"/>
        <v>14634.33</v>
      </c>
      <c r="BN158" s="8">
        <f t="shared" si="245"/>
        <v>0</v>
      </c>
      <c r="BO158" s="8">
        <f t="shared" si="246"/>
        <v>29922.474</v>
      </c>
    </row>
    <row r="159" spans="1:67" ht="19.5" customHeight="1">
      <c r="A159" s="10">
        <f t="shared" si="214"/>
        <v>158</v>
      </c>
      <c r="B159" s="10">
        <v>682</v>
      </c>
      <c r="C159" s="11" t="s">
        <v>378</v>
      </c>
      <c r="D159" s="30" t="s">
        <v>144</v>
      </c>
      <c r="E159" s="11" t="s">
        <v>372</v>
      </c>
      <c r="F159" s="42">
        <v>30579.359285714283</v>
      </c>
      <c r="G159" s="11" t="s">
        <v>378</v>
      </c>
      <c r="H159" s="48">
        <v>0</v>
      </c>
      <c r="I159" s="6">
        <v>4</v>
      </c>
      <c r="J159" s="8">
        <f t="shared" si="217"/>
        <v>15202.603</v>
      </c>
      <c r="K159" s="52" t="s">
        <v>382</v>
      </c>
      <c r="L159" s="17">
        <v>11694.31</v>
      </c>
      <c r="M159" s="17">
        <v>3228.42</v>
      </c>
      <c r="N159" s="12">
        <f>1.478*10804.5</f>
        <v>15969.051</v>
      </c>
      <c r="O159" s="8">
        <f t="shared" si="218"/>
        <v>11694.31</v>
      </c>
      <c r="P159" s="8">
        <f t="shared" si="247"/>
        <v>14617.887499999999</v>
      </c>
      <c r="Q159" s="14">
        <v>0</v>
      </c>
      <c r="R159" s="14">
        <v>0</v>
      </c>
      <c r="S159" s="9">
        <f t="shared" si="219"/>
        <v>11694.31</v>
      </c>
      <c r="T159" s="21">
        <f t="shared" si="220"/>
        <v>15800</v>
      </c>
      <c r="U159" s="54">
        <f>1.4866*10568</f>
        <v>15710.388799999999</v>
      </c>
      <c r="V159" s="8">
        <f t="shared" si="221"/>
        <v>11694.31</v>
      </c>
      <c r="W159" s="12">
        <f t="shared" si="253"/>
        <v>11694.31</v>
      </c>
      <c r="X159" s="8">
        <f t="shared" si="222"/>
        <v>11694.31</v>
      </c>
      <c r="Y159" s="12">
        <f t="shared" si="254"/>
        <v>8808</v>
      </c>
      <c r="Z159" s="12">
        <f t="shared" si="223"/>
        <v>11109.5945</v>
      </c>
      <c r="AA159" s="12">
        <f t="shared" si="224"/>
        <v>10524.878999999999</v>
      </c>
      <c r="AB159" s="14">
        <v>0</v>
      </c>
      <c r="AC159" s="14">
        <v>0</v>
      </c>
      <c r="AD159" s="8">
        <f t="shared" si="225"/>
        <v>11694.31</v>
      </c>
      <c r="AE159" s="8">
        <f t="shared" si="226"/>
        <v>11694.31</v>
      </c>
      <c r="AF159" s="14">
        <v>0</v>
      </c>
      <c r="AG159" s="7">
        <f aca="true" t="shared" si="256" ref="AG159:AG191">F159*0.7</f>
        <v>21405.551499999998</v>
      </c>
      <c r="AH159" s="12">
        <f t="shared" si="248"/>
        <v>12863.741</v>
      </c>
      <c r="AI159" s="8">
        <f t="shared" si="249"/>
        <v>11694.31</v>
      </c>
      <c r="AJ159" s="14">
        <f t="shared" si="227"/>
        <v>16021.2047</v>
      </c>
      <c r="AK159" s="8">
        <f t="shared" si="228"/>
        <v>11694.31</v>
      </c>
      <c r="AL159" s="8">
        <f t="shared" si="229"/>
        <v>11694.31</v>
      </c>
      <c r="AM159" s="8">
        <f t="shared" si="230"/>
        <v>12863.741</v>
      </c>
      <c r="AN159" s="8">
        <f t="shared" si="231"/>
        <v>11694.31</v>
      </c>
      <c r="AO159" s="8">
        <f t="shared" si="232"/>
        <v>3228.42</v>
      </c>
      <c r="AP159" s="8">
        <f t="shared" si="233"/>
        <v>11694.31</v>
      </c>
      <c r="AQ159" s="7">
        <f t="shared" si="234"/>
        <v>15289.679642857142</v>
      </c>
      <c r="AR159" s="17">
        <f t="shared" si="235"/>
        <v>3228.42</v>
      </c>
      <c r="AS159" s="8">
        <f t="shared" si="236"/>
        <v>11694.31</v>
      </c>
      <c r="AT159" s="12">
        <f t="shared" si="255"/>
        <v>11224</v>
      </c>
      <c r="AU159" s="8">
        <f t="shared" si="237"/>
        <v>3551.262</v>
      </c>
      <c r="AV159" s="8">
        <f t="shared" si="238"/>
        <v>11694.31</v>
      </c>
      <c r="AW159" s="7">
        <f t="shared" si="239"/>
        <v>11109.5945</v>
      </c>
      <c r="AX159" s="8" t="str">
        <f t="shared" si="216"/>
        <v>10290.99 IPPS</v>
      </c>
      <c r="AY159" s="14">
        <v>0</v>
      </c>
      <c r="AZ159" s="14">
        <v>0</v>
      </c>
      <c r="BA159" s="14">
        <v>0</v>
      </c>
      <c r="BB159" s="12">
        <f t="shared" si="250"/>
        <v>11694.31</v>
      </c>
      <c r="BC159" s="12">
        <f t="shared" si="251"/>
        <v>12863.741</v>
      </c>
      <c r="BD159" s="12">
        <f t="shared" si="252"/>
        <v>10524.878999999999</v>
      </c>
      <c r="BE159" s="14">
        <v>0</v>
      </c>
      <c r="BF159" s="14">
        <v>0</v>
      </c>
      <c r="BG159" s="14">
        <v>0</v>
      </c>
      <c r="BH159" s="8">
        <f t="shared" si="240"/>
        <v>14033.171999999999</v>
      </c>
      <c r="BI159" s="8">
        <f t="shared" si="241"/>
        <v>11694.31</v>
      </c>
      <c r="BJ159" s="8">
        <f t="shared" si="242"/>
        <v>11109.5945</v>
      </c>
      <c r="BK159" s="8">
        <f t="shared" si="243"/>
        <v>11694.31</v>
      </c>
      <c r="BL159" s="58">
        <f>1.4866*9755</f>
        <v>14501.783</v>
      </c>
      <c r="BM159" s="8">
        <f t="shared" si="244"/>
        <v>11694.31</v>
      </c>
      <c r="BN159" s="8">
        <f t="shared" si="245"/>
        <v>0</v>
      </c>
      <c r="BO159" s="8">
        <f t="shared" si="246"/>
        <v>21405.551499999998</v>
      </c>
    </row>
    <row r="160" spans="1:67" ht="19.5" customHeight="1">
      <c r="A160" s="10">
        <f t="shared" si="214"/>
        <v>159</v>
      </c>
      <c r="B160" s="10">
        <v>392</v>
      </c>
      <c r="C160" s="11" t="s">
        <v>378</v>
      </c>
      <c r="D160" s="29" t="s">
        <v>145</v>
      </c>
      <c r="E160" s="11" t="s">
        <v>372</v>
      </c>
      <c r="F160" s="42">
        <v>19107.001428571424</v>
      </c>
      <c r="G160" s="11" t="s">
        <v>378</v>
      </c>
      <c r="H160" s="48">
        <v>0</v>
      </c>
      <c r="I160" s="6">
        <v>3</v>
      </c>
      <c r="J160" s="8">
        <f t="shared" si="217"/>
        <v>8011.016</v>
      </c>
      <c r="K160" s="52" t="s">
        <v>382</v>
      </c>
      <c r="L160" s="17">
        <v>6162.32</v>
      </c>
      <c r="M160" s="17">
        <v>3355.37</v>
      </c>
      <c r="N160" s="12">
        <f>0.8392*10804.5</f>
        <v>9067.1364</v>
      </c>
      <c r="O160" s="8">
        <f t="shared" si="218"/>
        <v>6162.32</v>
      </c>
      <c r="P160" s="8">
        <f t="shared" si="247"/>
        <v>7702.9</v>
      </c>
      <c r="Q160" s="14">
        <v>0</v>
      </c>
      <c r="R160" s="14">
        <v>0</v>
      </c>
      <c r="S160" s="9">
        <f t="shared" si="219"/>
        <v>6162.32</v>
      </c>
      <c r="T160" s="21">
        <f t="shared" si="220"/>
        <v>11850</v>
      </c>
      <c r="U160" s="54">
        <f>0.7876*10568</f>
        <v>8323.3568</v>
      </c>
      <c r="V160" s="8">
        <f t="shared" si="221"/>
        <v>6162.32</v>
      </c>
      <c r="W160" s="12">
        <f t="shared" si="253"/>
        <v>6162.32</v>
      </c>
      <c r="X160" s="8">
        <f t="shared" si="222"/>
        <v>6162.32</v>
      </c>
      <c r="Y160" s="12">
        <f t="shared" si="254"/>
        <v>6606</v>
      </c>
      <c r="Z160" s="12">
        <f t="shared" si="223"/>
        <v>5854.204</v>
      </c>
      <c r="AA160" s="12">
        <f t="shared" si="224"/>
        <v>5546.088</v>
      </c>
      <c r="AB160" s="14">
        <v>0</v>
      </c>
      <c r="AC160" s="14">
        <v>0</v>
      </c>
      <c r="AD160" s="8">
        <f t="shared" si="225"/>
        <v>6162.32</v>
      </c>
      <c r="AE160" s="8">
        <f t="shared" si="226"/>
        <v>6162.32</v>
      </c>
      <c r="AF160" s="14">
        <v>0</v>
      </c>
      <c r="AG160" s="7">
        <f t="shared" si="256"/>
        <v>13374.900999999996</v>
      </c>
      <c r="AH160" s="12">
        <f t="shared" si="248"/>
        <v>6778.552000000001</v>
      </c>
      <c r="AI160" s="8">
        <f t="shared" si="249"/>
        <v>6162.32</v>
      </c>
      <c r="AJ160" s="14">
        <f t="shared" si="227"/>
        <v>8442.3784</v>
      </c>
      <c r="AK160" s="8">
        <f t="shared" si="228"/>
        <v>6162.32</v>
      </c>
      <c r="AL160" s="8">
        <f t="shared" si="229"/>
        <v>6162.32</v>
      </c>
      <c r="AM160" s="8">
        <f t="shared" si="230"/>
        <v>6778.552000000001</v>
      </c>
      <c r="AN160" s="8">
        <f t="shared" si="231"/>
        <v>6162.32</v>
      </c>
      <c r="AO160" s="8">
        <f t="shared" si="232"/>
        <v>3355.37</v>
      </c>
      <c r="AP160" s="8">
        <f t="shared" si="233"/>
        <v>6162.32</v>
      </c>
      <c r="AQ160" s="7">
        <f t="shared" si="234"/>
        <v>9553.500714285712</v>
      </c>
      <c r="AR160" s="17">
        <f t="shared" si="235"/>
        <v>3355.37</v>
      </c>
      <c r="AS160" s="8">
        <f t="shared" si="236"/>
        <v>6162.32</v>
      </c>
      <c r="AT160" s="12">
        <f t="shared" si="255"/>
        <v>8418</v>
      </c>
      <c r="AU160" s="8">
        <f t="shared" si="237"/>
        <v>3690.907</v>
      </c>
      <c r="AV160" s="8">
        <f t="shared" si="238"/>
        <v>6162.32</v>
      </c>
      <c r="AW160" s="7">
        <f t="shared" si="239"/>
        <v>5854.204</v>
      </c>
      <c r="AX160" s="8" t="str">
        <f t="shared" si="216"/>
        <v>5422.84 IPPS</v>
      </c>
      <c r="AY160" s="14">
        <v>0</v>
      </c>
      <c r="AZ160" s="14">
        <v>0</v>
      </c>
      <c r="BA160" s="14">
        <v>0</v>
      </c>
      <c r="BB160" s="12">
        <f t="shared" si="250"/>
        <v>6162.32</v>
      </c>
      <c r="BC160" s="12">
        <f t="shared" si="251"/>
        <v>6778.552000000001</v>
      </c>
      <c r="BD160" s="12">
        <f t="shared" si="252"/>
        <v>5546.088</v>
      </c>
      <c r="BE160" s="14">
        <v>0</v>
      </c>
      <c r="BF160" s="14">
        <v>0</v>
      </c>
      <c r="BG160" s="14">
        <v>0</v>
      </c>
      <c r="BH160" s="8">
        <f t="shared" si="240"/>
        <v>7394.784</v>
      </c>
      <c r="BI160" s="8">
        <f t="shared" si="241"/>
        <v>6162.32</v>
      </c>
      <c r="BJ160" s="8">
        <f t="shared" si="242"/>
        <v>5854.204</v>
      </c>
      <c r="BK160" s="8">
        <f t="shared" si="243"/>
        <v>6162.32</v>
      </c>
      <c r="BL160" s="58">
        <f>0.7876*9755</f>
        <v>7683.038</v>
      </c>
      <c r="BM160" s="8">
        <f t="shared" si="244"/>
        <v>6162.32</v>
      </c>
      <c r="BN160" s="8">
        <f t="shared" si="245"/>
        <v>0</v>
      </c>
      <c r="BO160" s="8">
        <f t="shared" si="246"/>
        <v>13374.900999999996</v>
      </c>
    </row>
    <row r="161" spans="1:67" ht="19.5" customHeight="1">
      <c r="A161" s="10">
        <f t="shared" si="214"/>
        <v>160</v>
      </c>
      <c r="B161" s="10">
        <v>65</v>
      </c>
      <c r="C161" s="11" t="s">
        <v>378</v>
      </c>
      <c r="D161" s="29" t="s">
        <v>146</v>
      </c>
      <c r="E161" s="11" t="s">
        <v>372</v>
      </c>
      <c r="F161" s="42">
        <v>20690.946153846155</v>
      </c>
      <c r="G161" s="11" t="s">
        <v>378</v>
      </c>
      <c r="H161" s="48">
        <v>0</v>
      </c>
      <c r="I161" s="6">
        <v>3</v>
      </c>
      <c r="J161" s="8">
        <f t="shared" si="217"/>
        <v>10597.041</v>
      </c>
      <c r="K161" s="52" t="s">
        <v>382</v>
      </c>
      <c r="L161" s="17">
        <v>8151.57</v>
      </c>
      <c r="M161" s="17">
        <v>8023.62</v>
      </c>
      <c r="N161" s="12">
        <f>1.5651*10804.5</f>
        <v>16910.12295</v>
      </c>
      <c r="O161" s="8">
        <f t="shared" si="218"/>
        <v>8151.57</v>
      </c>
      <c r="P161" s="8">
        <f t="shared" si="247"/>
        <v>10189.4625</v>
      </c>
      <c r="Q161" s="14">
        <v>0</v>
      </c>
      <c r="R161" s="14">
        <v>0</v>
      </c>
      <c r="S161" s="9">
        <f t="shared" si="219"/>
        <v>8151.57</v>
      </c>
      <c r="T161" s="21">
        <v>34087</v>
      </c>
      <c r="U161" s="54">
        <f>1.0164*10568</f>
        <v>10741.3152</v>
      </c>
      <c r="V161" s="8">
        <f t="shared" si="221"/>
        <v>8151.57</v>
      </c>
      <c r="W161" s="12">
        <f t="shared" si="253"/>
        <v>8151.57</v>
      </c>
      <c r="X161" s="8">
        <f t="shared" si="222"/>
        <v>8151.57</v>
      </c>
      <c r="Y161" s="12">
        <f t="shared" si="254"/>
        <v>6606</v>
      </c>
      <c r="Z161" s="12">
        <f t="shared" si="223"/>
        <v>7743.991499999999</v>
      </c>
      <c r="AA161" s="12">
        <f t="shared" si="224"/>
        <v>7336.413</v>
      </c>
      <c r="AB161" s="14">
        <v>0</v>
      </c>
      <c r="AC161" s="14">
        <v>0</v>
      </c>
      <c r="AD161" s="8">
        <f t="shared" si="225"/>
        <v>8151.57</v>
      </c>
      <c r="AE161" s="8">
        <f t="shared" si="226"/>
        <v>8151.57</v>
      </c>
      <c r="AF161" s="14">
        <v>0</v>
      </c>
      <c r="AG161" s="7">
        <f t="shared" si="256"/>
        <v>14483.662307692308</v>
      </c>
      <c r="AH161" s="12">
        <f t="shared" si="248"/>
        <v>8966.727</v>
      </c>
      <c r="AI161" s="8">
        <f t="shared" si="249"/>
        <v>8151.57</v>
      </c>
      <c r="AJ161" s="14">
        <f t="shared" si="227"/>
        <v>11167.6509</v>
      </c>
      <c r="AK161" s="8">
        <f t="shared" si="228"/>
        <v>8151.57</v>
      </c>
      <c r="AL161" s="8">
        <f t="shared" si="229"/>
        <v>8151.57</v>
      </c>
      <c r="AM161" s="8">
        <f t="shared" si="230"/>
        <v>8966.727</v>
      </c>
      <c r="AN161" s="8">
        <f t="shared" si="231"/>
        <v>8151.57</v>
      </c>
      <c r="AO161" s="8">
        <f t="shared" si="232"/>
        <v>8023.62</v>
      </c>
      <c r="AP161" s="8">
        <f t="shared" si="233"/>
        <v>8151.57</v>
      </c>
      <c r="AQ161" s="7">
        <f t="shared" si="234"/>
        <v>10345.473076923077</v>
      </c>
      <c r="AR161" s="17">
        <f t="shared" si="235"/>
        <v>8023.62</v>
      </c>
      <c r="AS161" s="8">
        <f t="shared" si="236"/>
        <v>8151.57</v>
      </c>
      <c r="AT161" s="12">
        <f t="shared" si="255"/>
        <v>8418</v>
      </c>
      <c r="AU161" s="8">
        <f t="shared" si="237"/>
        <v>8825.982</v>
      </c>
      <c r="AV161" s="8">
        <f t="shared" si="238"/>
        <v>8151.57</v>
      </c>
      <c r="AW161" s="7">
        <f t="shared" si="239"/>
        <v>7743.991499999999</v>
      </c>
      <c r="AX161" s="8" t="str">
        <f t="shared" si="216"/>
        <v>7173.38 IPPS</v>
      </c>
      <c r="AY161" s="14">
        <v>0</v>
      </c>
      <c r="AZ161" s="14">
        <v>0</v>
      </c>
      <c r="BA161" s="14">
        <v>0</v>
      </c>
      <c r="BB161" s="12">
        <f t="shared" si="250"/>
        <v>8151.57</v>
      </c>
      <c r="BC161" s="12">
        <f t="shared" si="251"/>
        <v>8966.727</v>
      </c>
      <c r="BD161" s="12">
        <f t="shared" si="252"/>
        <v>7336.413</v>
      </c>
      <c r="BE161" s="14">
        <v>0</v>
      </c>
      <c r="BF161" s="14">
        <v>0</v>
      </c>
      <c r="BG161" s="14">
        <v>0</v>
      </c>
      <c r="BH161" s="8">
        <f t="shared" si="240"/>
        <v>9781.884</v>
      </c>
      <c r="BI161" s="8">
        <f t="shared" si="241"/>
        <v>8151.57</v>
      </c>
      <c r="BJ161" s="8">
        <f t="shared" si="242"/>
        <v>7743.991499999999</v>
      </c>
      <c r="BK161" s="8">
        <f t="shared" si="243"/>
        <v>8151.57</v>
      </c>
      <c r="BL161" s="58">
        <f>1.0164*9755</f>
        <v>9914.982</v>
      </c>
      <c r="BM161" s="8">
        <f t="shared" si="244"/>
        <v>8151.57</v>
      </c>
      <c r="BN161" s="8">
        <f t="shared" si="245"/>
        <v>0</v>
      </c>
      <c r="BO161" s="8">
        <f t="shared" si="246"/>
        <v>34087</v>
      </c>
    </row>
    <row r="162" spans="1:67" ht="19.5" customHeight="1">
      <c r="A162" s="10">
        <f t="shared" si="214"/>
        <v>161</v>
      </c>
      <c r="B162" s="10">
        <v>331</v>
      </c>
      <c r="C162" s="11" t="s">
        <v>378</v>
      </c>
      <c r="D162" s="29" t="s">
        <v>147</v>
      </c>
      <c r="E162" s="11" t="s">
        <v>372</v>
      </c>
      <c r="F162" s="42">
        <v>95328.93666666666</v>
      </c>
      <c r="G162" s="11" t="s">
        <v>378</v>
      </c>
      <c r="H162" s="48">
        <v>0</v>
      </c>
      <c r="I162" s="6">
        <v>3</v>
      </c>
      <c r="J162" s="8">
        <f t="shared" si="217"/>
        <v>17647.006</v>
      </c>
      <c r="K162" s="52" t="s">
        <v>382</v>
      </c>
      <c r="L162" s="17">
        <v>13574.62</v>
      </c>
      <c r="M162" s="17">
        <v>10444.74</v>
      </c>
      <c r="N162" s="12">
        <f>1.6892*10804.5</f>
        <v>18250.9614</v>
      </c>
      <c r="O162" s="8">
        <f t="shared" si="218"/>
        <v>13574.62</v>
      </c>
      <c r="P162" s="8">
        <f t="shared" si="247"/>
        <v>16968.275</v>
      </c>
      <c r="Q162" s="14">
        <v>0</v>
      </c>
      <c r="R162" s="14">
        <v>0</v>
      </c>
      <c r="S162" s="9">
        <f t="shared" si="219"/>
        <v>13574.62</v>
      </c>
      <c r="T162" s="21">
        <f aca="true" t="shared" si="257" ref="T162:T181">3950*I162</f>
        <v>11850</v>
      </c>
      <c r="U162" s="54">
        <f>1.7088*10568</f>
        <v>18058.598400000003</v>
      </c>
      <c r="V162" s="9">
        <f t="shared" si="221"/>
        <v>13574.62</v>
      </c>
      <c r="W162" s="12">
        <f t="shared" si="253"/>
        <v>13574.62</v>
      </c>
      <c r="X162" s="14">
        <f t="shared" si="222"/>
        <v>13574.62</v>
      </c>
      <c r="Y162" s="12">
        <f t="shared" si="254"/>
        <v>6606</v>
      </c>
      <c r="Z162" s="12">
        <f t="shared" si="223"/>
        <v>12895.889000000001</v>
      </c>
      <c r="AA162" s="12">
        <f t="shared" si="224"/>
        <v>12217.158000000001</v>
      </c>
      <c r="AB162" s="14">
        <v>0</v>
      </c>
      <c r="AC162" s="14">
        <v>0</v>
      </c>
      <c r="AD162" s="14">
        <f t="shared" si="225"/>
        <v>13574.62</v>
      </c>
      <c r="AE162" s="14">
        <f t="shared" si="226"/>
        <v>13574.62</v>
      </c>
      <c r="AF162" s="14">
        <v>0</v>
      </c>
      <c r="AG162" s="7">
        <f t="shared" si="256"/>
        <v>66730.25566666666</v>
      </c>
      <c r="AH162" s="12">
        <f t="shared" si="248"/>
        <v>14932.082000000002</v>
      </c>
      <c r="AI162" s="8">
        <f t="shared" si="249"/>
        <v>13574.62</v>
      </c>
      <c r="AJ162" s="14">
        <f t="shared" si="227"/>
        <v>18597.229400000004</v>
      </c>
      <c r="AK162" s="14">
        <f t="shared" si="228"/>
        <v>13574.62</v>
      </c>
      <c r="AL162" s="14">
        <f t="shared" si="229"/>
        <v>13574.62</v>
      </c>
      <c r="AM162" s="8">
        <f t="shared" si="230"/>
        <v>14932.082000000002</v>
      </c>
      <c r="AN162" s="8">
        <f t="shared" si="231"/>
        <v>13574.62</v>
      </c>
      <c r="AO162" s="8">
        <f t="shared" si="232"/>
        <v>10444.74</v>
      </c>
      <c r="AP162" s="14">
        <f t="shared" si="233"/>
        <v>13574.62</v>
      </c>
      <c r="AQ162" s="7">
        <f t="shared" si="234"/>
        <v>47664.46833333333</v>
      </c>
      <c r="AR162" s="17">
        <f t="shared" si="235"/>
        <v>10444.74</v>
      </c>
      <c r="AS162" s="14">
        <f t="shared" si="236"/>
        <v>13574.62</v>
      </c>
      <c r="AT162" s="12">
        <f t="shared" si="255"/>
        <v>8418</v>
      </c>
      <c r="AU162" s="8">
        <f t="shared" si="237"/>
        <v>11489.214</v>
      </c>
      <c r="AV162" s="14">
        <f t="shared" si="238"/>
        <v>13574.62</v>
      </c>
      <c r="AW162" s="7">
        <f t="shared" si="239"/>
        <v>12895.889000000001</v>
      </c>
      <c r="AX162" s="8" t="str">
        <f t="shared" si="216"/>
        <v>11945.67 IPPS</v>
      </c>
      <c r="AY162" s="14">
        <v>0</v>
      </c>
      <c r="AZ162" s="14">
        <v>0</v>
      </c>
      <c r="BA162" s="14">
        <v>0</v>
      </c>
      <c r="BB162" s="12">
        <f t="shared" si="250"/>
        <v>13574.62</v>
      </c>
      <c r="BC162" s="12">
        <f t="shared" si="251"/>
        <v>14932.082000000002</v>
      </c>
      <c r="BD162" s="12">
        <f t="shared" si="252"/>
        <v>12217.158000000001</v>
      </c>
      <c r="BE162" s="14">
        <v>0</v>
      </c>
      <c r="BF162" s="14">
        <v>0</v>
      </c>
      <c r="BG162" s="14">
        <v>0</v>
      </c>
      <c r="BH162" s="8">
        <f t="shared" si="240"/>
        <v>16289.544</v>
      </c>
      <c r="BI162" s="14">
        <f t="shared" si="241"/>
        <v>13574.62</v>
      </c>
      <c r="BJ162" s="8">
        <f t="shared" si="242"/>
        <v>12895.889000000001</v>
      </c>
      <c r="BK162" s="14">
        <f t="shared" si="243"/>
        <v>13574.62</v>
      </c>
      <c r="BL162" s="58">
        <f>1.7088*9755</f>
        <v>16669.344</v>
      </c>
      <c r="BM162" s="14">
        <f t="shared" si="244"/>
        <v>13574.62</v>
      </c>
      <c r="BN162" s="8">
        <f t="shared" si="245"/>
        <v>0</v>
      </c>
      <c r="BO162" s="8">
        <f t="shared" si="246"/>
        <v>66730.25566666666</v>
      </c>
    </row>
    <row r="163" spans="1:67" ht="19.5" customHeight="1">
      <c r="A163" s="10">
        <f t="shared" si="214"/>
        <v>162</v>
      </c>
      <c r="B163" s="10">
        <v>872</v>
      </c>
      <c r="C163" s="11" t="s">
        <v>378</v>
      </c>
      <c r="D163" s="29" t="s">
        <v>148</v>
      </c>
      <c r="E163" s="11" t="s">
        <v>372</v>
      </c>
      <c r="F163" s="42">
        <v>17669.1125</v>
      </c>
      <c r="G163" s="11" t="s">
        <v>378</v>
      </c>
      <c r="H163" s="48">
        <v>0</v>
      </c>
      <c r="I163" s="6">
        <v>4</v>
      </c>
      <c r="J163" s="8">
        <f t="shared" si="217"/>
        <v>10631.699</v>
      </c>
      <c r="K163" s="52" t="s">
        <v>382</v>
      </c>
      <c r="L163" s="17">
        <v>8178.23</v>
      </c>
      <c r="M163" s="17">
        <v>4055.87</v>
      </c>
      <c r="N163" s="12">
        <f>1.0393*10804.5</f>
        <v>11229.116849999999</v>
      </c>
      <c r="O163" s="8">
        <f t="shared" si="218"/>
        <v>8178.23</v>
      </c>
      <c r="P163" s="8">
        <f t="shared" si="247"/>
        <v>10222.787499999999</v>
      </c>
      <c r="Q163" s="14">
        <v>0</v>
      </c>
      <c r="R163" s="14">
        <v>0</v>
      </c>
      <c r="S163" s="9">
        <f t="shared" si="219"/>
        <v>8178.23</v>
      </c>
      <c r="T163" s="21">
        <f t="shared" si="257"/>
        <v>15800</v>
      </c>
      <c r="U163" s="54">
        <f>1.028*10568</f>
        <v>10863.904</v>
      </c>
      <c r="V163" s="8">
        <f t="shared" si="221"/>
        <v>8178.23</v>
      </c>
      <c r="W163" s="12">
        <f t="shared" si="253"/>
        <v>8178.23</v>
      </c>
      <c r="X163" s="8">
        <f t="shared" si="222"/>
        <v>8178.23</v>
      </c>
      <c r="Y163" s="12">
        <f t="shared" si="254"/>
        <v>8808</v>
      </c>
      <c r="Z163" s="12">
        <f t="shared" si="223"/>
        <v>7769.318499999999</v>
      </c>
      <c r="AA163" s="12">
        <f t="shared" si="224"/>
        <v>7360.407</v>
      </c>
      <c r="AB163" s="14">
        <v>0</v>
      </c>
      <c r="AC163" s="14">
        <v>0</v>
      </c>
      <c r="AD163" s="8">
        <f t="shared" si="225"/>
        <v>8178.23</v>
      </c>
      <c r="AE163" s="8">
        <f t="shared" si="226"/>
        <v>8178.23</v>
      </c>
      <c r="AF163" s="14">
        <v>0</v>
      </c>
      <c r="AG163" s="7">
        <f t="shared" si="256"/>
        <v>12368.378749999998</v>
      </c>
      <c r="AH163" s="12">
        <f t="shared" si="248"/>
        <v>8996.053</v>
      </c>
      <c r="AI163" s="8">
        <f t="shared" si="249"/>
        <v>8178.23</v>
      </c>
      <c r="AJ163" s="14">
        <f t="shared" si="227"/>
        <v>11204.1751</v>
      </c>
      <c r="AK163" s="8">
        <f t="shared" si="228"/>
        <v>8178.23</v>
      </c>
      <c r="AL163" s="8">
        <f t="shared" si="229"/>
        <v>8178.23</v>
      </c>
      <c r="AM163" s="8">
        <f t="shared" si="230"/>
        <v>8996.053</v>
      </c>
      <c r="AN163" s="8">
        <f t="shared" si="231"/>
        <v>8178.23</v>
      </c>
      <c r="AO163" s="8">
        <f t="shared" si="232"/>
        <v>4055.87</v>
      </c>
      <c r="AP163" s="8">
        <f t="shared" si="233"/>
        <v>8178.23</v>
      </c>
      <c r="AQ163" s="7">
        <f t="shared" si="234"/>
        <v>8834.55625</v>
      </c>
      <c r="AR163" s="17">
        <f t="shared" si="235"/>
        <v>4055.87</v>
      </c>
      <c r="AS163" s="8">
        <f t="shared" si="236"/>
        <v>8178.23</v>
      </c>
      <c r="AT163" s="12">
        <f t="shared" si="255"/>
        <v>11224</v>
      </c>
      <c r="AU163" s="8">
        <f t="shared" si="237"/>
        <v>4461.457</v>
      </c>
      <c r="AV163" s="8">
        <f t="shared" si="238"/>
        <v>8178.23</v>
      </c>
      <c r="AW163" s="7">
        <f t="shared" si="239"/>
        <v>7769.318499999999</v>
      </c>
      <c r="AX163" s="8" t="str">
        <f t="shared" si="216"/>
        <v>7196.84 IPPS</v>
      </c>
      <c r="AY163" s="14">
        <v>0</v>
      </c>
      <c r="AZ163" s="14">
        <v>0</v>
      </c>
      <c r="BA163" s="14">
        <v>0</v>
      </c>
      <c r="BB163" s="12">
        <f t="shared" si="250"/>
        <v>8178.23</v>
      </c>
      <c r="BC163" s="12">
        <f t="shared" si="251"/>
        <v>8996.053</v>
      </c>
      <c r="BD163" s="12">
        <f t="shared" si="252"/>
        <v>7360.407</v>
      </c>
      <c r="BE163" s="14">
        <v>0</v>
      </c>
      <c r="BF163" s="14">
        <v>0</v>
      </c>
      <c r="BG163" s="14">
        <v>0</v>
      </c>
      <c r="BH163" s="8">
        <f t="shared" si="240"/>
        <v>9813.875999999998</v>
      </c>
      <c r="BI163" s="8">
        <f t="shared" si="241"/>
        <v>8178.23</v>
      </c>
      <c r="BJ163" s="8">
        <f t="shared" si="242"/>
        <v>7769.318499999999</v>
      </c>
      <c r="BK163" s="8">
        <f t="shared" si="243"/>
        <v>8178.23</v>
      </c>
      <c r="BL163" s="58">
        <f>1.028*9755</f>
        <v>10028.14</v>
      </c>
      <c r="BM163" s="8">
        <f t="shared" si="244"/>
        <v>8178.23</v>
      </c>
      <c r="BN163" s="8">
        <f t="shared" si="245"/>
        <v>0</v>
      </c>
      <c r="BO163" s="8">
        <f t="shared" si="246"/>
        <v>15800</v>
      </c>
    </row>
    <row r="164" spans="1:67" ht="19.5" customHeight="1">
      <c r="A164" s="10">
        <f t="shared" si="214"/>
        <v>163</v>
      </c>
      <c r="B164" s="10">
        <v>638</v>
      </c>
      <c r="C164" s="11" t="s">
        <v>378</v>
      </c>
      <c r="D164" s="30" t="s">
        <v>149</v>
      </c>
      <c r="E164" s="11" t="s">
        <v>372</v>
      </c>
      <c r="F164" s="42">
        <v>21415.671666666665</v>
      </c>
      <c r="G164" s="11" t="s">
        <v>378</v>
      </c>
      <c r="H164" s="48">
        <v>0</v>
      </c>
      <c r="I164" s="6">
        <v>3</v>
      </c>
      <c r="J164" s="8">
        <f t="shared" si="217"/>
        <v>9182.784000000001</v>
      </c>
      <c r="K164" s="52" t="s">
        <v>382</v>
      </c>
      <c r="L164" s="17">
        <v>7063.68</v>
      </c>
      <c r="M164" s="17">
        <v>2910.28</v>
      </c>
      <c r="N164" s="12">
        <f>0.8841*10804.5</f>
        <v>9552.25845</v>
      </c>
      <c r="O164" s="8">
        <f t="shared" si="218"/>
        <v>7063.68</v>
      </c>
      <c r="P164" s="8">
        <f t="shared" si="247"/>
        <v>8829.6</v>
      </c>
      <c r="Q164" s="14">
        <v>0</v>
      </c>
      <c r="R164" s="14">
        <v>0</v>
      </c>
      <c r="S164" s="9">
        <f t="shared" si="219"/>
        <v>7063.68</v>
      </c>
      <c r="T164" s="21">
        <f t="shared" si="257"/>
        <v>11850</v>
      </c>
      <c r="U164" s="54">
        <f>0.876*10568</f>
        <v>9257.568</v>
      </c>
      <c r="V164" s="8">
        <f t="shared" si="221"/>
        <v>7063.68</v>
      </c>
      <c r="W164" s="12">
        <f t="shared" si="253"/>
        <v>7063.68</v>
      </c>
      <c r="X164" s="8">
        <f t="shared" si="222"/>
        <v>7063.68</v>
      </c>
      <c r="Y164" s="12">
        <f t="shared" si="254"/>
        <v>6606</v>
      </c>
      <c r="Z164" s="12">
        <f t="shared" si="223"/>
        <v>6710.496</v>
      </c>
      <c r="AA164" s="12">
        <f t="shared" si="224"/>
        <v>6357.312000000001</v>
      </c>
      <c r="AB164" s="14">
        <v>0</v>
      </c>
      <c r="AC164" s="14">
        <v>0</v>
      </c>
      <c r="AD164" s="8">
        <f t="shared" si="225"/>
        <v>7063.68</v>
      </c>
      <c r="AE164" s="8">
        <f t="shared" si="226"/>
        <v>7063.68</v>
      </c>
      <c r="AF164" s="14">
        <v>0</v>
      </c>
      <c r="AG164" s="7">
        <f t="shared" si="256"/>
        <v>14990.970166666664</v>
      </c>
      <c r="AH164" s="12">
        <f t="shared" si="248"/>
        <v>7770.048000000001</v>
      </c>
      <c r="AI164" s="8">
        <f t="shared" si="249"/>
        <v>7063.68</v>
      </c>
      <c r="AJ164" s="14">
        <f t="shared" si="227"/>
        <v>9677.241600000001</v>
      </c>
      <c r="AK164" s="8">
        <f t="shared" si="228"/>
        <v>7063.68</v>
      </c>
      <c r="AL164" s="8">
        <f t="shared" si="229"/>
        <v>7063.68</v>
      </c>
      <c r="AM164" s="8">
        <f t="shared" si="230"/>
        <v>7770.048000000001</v>
      </c>
      <c r="AN164" s="8">
        <f t="shared" si="231"/>
        <v>7063.68</v>
      </c>
      <c r="AO164" s="8">
        <f t="shared" si="232"/>
        <v>2910.28</v>
      </c>
      <c r="AP164" s="8">
        <f t="shared" si="233"/>
        <v>7063.68</v>
      </c>
      <c r="AQ164" s="7">
        <f t="shared" si="234"/>
        <v>10707.835833333333</v>
      </c>
      <c r="AR164" s="17">
        <f t="shared" si="235"/>
        <v>2910.28</v>
      </c>
      <c r="AS164" s="8">
        <f t="shared" si="236"/>
        <v>7063.68</v>
      </c>
      <c r="AT164" s="12">
        <f t="shared" si="255"/>
        <v>8418</v>
      </c>
      <c r="AU164" s="8">
        <f t="shared" si="237"/>
        <v>3201.3080000000004</v>
      </c>
      <c r="AV164" s="8">
        <f t="shared" si="238"/>
        <v>7063.68</v>
      </c>
      <c r="AW164" s="7">
        <f t="shared" si="239"/>
        <v>6710.496</v>
      </c>
      <c r="AX164" s="8" t="str">
        <f t="shared" si="216"/>
        <v>6216.04 IPPS</v>
      </c>
      <c r="AY164" s="14">
        <v>0</v>
      </c>
      <c r="AZ164" s="14">
        <v>0</v>
      </c>
      <c r="BA164" s="14">
        <v>0</v>
      </c>
      <c r="BB164" s="12">
        <f t="shared" si="250"/>
        <v>7063.68</v>
      </c>
      <c r="BC164" s="12">
        <f t="shared" si="251"/>
        <v>7770.048000000001</v>
      </c>
      <c r="BD164" s="12">
        <f t="shared" si="252"/>
        <v>6357.312000000001</v>
      </c>
      <c r="BE164" s="14">
        <v>0</v>
      </c>
      <c r="BF164" s="14">
        <v>0</v>
      </c>
      <c r="BG164" s="14">
        <v>0</v>
      </c>
      <c r="BH164" s="8">
        <f t="shared" si="240"/>
        <v>8476.416</v>
      </c>
      <c r="BI164" s="8">
        <f t="shared" si="241"/>
        <v>7063.68</v>
      </c>
      <c r="BJ164" s="8">
        <f t="shared" si="242"/>
        <v>6710.496</v>
      </c>
      <c r="BK164" s="8">
        <f t="shared" si="243"/>
        <v>7063.68</v>
      </c>
      <c r="BL164" s="58">
        <f>0.876*9755</f>
        <v>8545.38</v>
      </c>
      <c r="BM164" s="8">
        <f t="shared" si="244"/>
        <v>7063.68</v>
      </c>
      <c r="BN164" s="8">
        <f t="shared" si="245"/>
        <v>0</v>
      </c>
      <c r="BO164" s="8">
        <f t="shared" si="246"/>
        <v>14990.970166666664</v>
      </c>
    </row>
    <row r="165" spans="1:67" ht="19.5" customHeight="1">
      <c r="A165" s="10">
        <f t="shared" si="214"/>
        <v>164</v>
      </c>
      <c r="B165" s="10">
        <v>870</v>
      </c>
      <c r="C165" s="11" t="s">
        <v>378</v>
      </c>
      <c r="D165" s="29" t="s">
        <v>150</v>
      </c>
      <c r="E165" s="11" t="s">
        <v>372</v>
      </c>
      <c r="F165" s="44">
        <v>127774</v>
      </c>
      <c r="G165" s="11" t="s">
        <v>378</v>
      </c>
      <c r="H165" s="48">
        <v>0</v>
      </c>
      <c r="I165" s="6">
        <v>12</v>
      </c>
      <c r="J165" s="8">
        <f t="shared" si="217"/>
        <v>65686.478</v>
      </c>
      <c r="K165" s="52" t="s">
        <v>382</v>
      </c>
      <c r="L165" s="17">
        <v>50528.06</v>
      </c>
      <c r="M165" s="17">
        <v>4055.87</v>
      </c>
      <c r="N165" s="12">
        <f>6.3243*10804.5</f>
        <v>68330.89935</v>
      </c>
      <c r="O165" s="8">
        <f t="shared" si="218"/>
        <v>50528.06</v>
      </c>
      <c r="P165" s="8">
        <f>1.25*L165</f>
        <v>63160.075</v>
      </c>
      <c r="Q165" s="14">
        <v>0</v>
      </c>
      <c r="R165" s="14">
        <v>0</v>
      </c>
      <c r="S165" s="9">
        <f t="shared" si="219"/>
        <v>50528.06</v>
      </c>
      <c r="T165" s="21">
        <f t="shared" si="257"/>
        <v>47400</v>
      </c>
      <c r="U165" s="54">
        <f>6.7909*10568</f>
        <v>71766.2312</v>
      </c>
      <c r="V165" s="8">
        <f t="shared" si="221"/>
        <v>50528.06</v>
      </c>
      <c r="W165" s="12">
        <f t="shared" si="253"/>
        <v>50528.06</v>
      </c>
      <c r="X165" s="8">
        <f t="shared" si="222"/>
        <v>50528.06</v>
      </c>
      <c r="Y165" s="12">
        <f t="shared" si="254"/>
        <v>26424</v>
      </c>
      <c r="Z165" s="12">
        <f t="shared" si="223"/>
        <v>48001.65699999999</v>
      </c>
      <c r="AA165" s="12">
        <f t="shared" si="224"/>
        <v>45475.254</v>
      </c>
      <c r="AB165" s="14">
        <v>0</v>
      </c>
      <c r="AC165" s="14">
        <v>0</v>
      </c>
      <c r="AD165" s="8">
        <f t="shared" si="225"/>
        <v>50528.06</v>
      </c>
      <c r="AE165" s="8">
        <f t="shared" si="226"/>
        <v>50528.06</v>
      </c>
      <c r="AF165" s="14">
        <v>0</v>
      </c>
      <c r="AG165" s="7">
        <f t="shared" si="256"/>
        <v>89441.79999999999</v>
      </c>
      <c r="AH165" s="12">
        <f t="shared" si="248"/>
        <v>55580.866</v>
      </c>
      <c r="AI165" s="8">
        <f t="shared" si="249"/>
        <v>50528.06</v>
      </c>
      <c r="AJ165" s="14">
        <f t="shared" si="227"/>
        <v>69223.4422</v>
      </c>
      <c r="AK165" s="8">
        <f t="shared" si="228"/>
        <v>50528.06</v>
      </c>
      <c r="AL165" s="8">
        <f t="shared" si="229"/>
        <v>50528.06</v>
      </c>
      <c r="AM165" s="8">
        <f t="shared" si="230"/>
        <v>55580.866</v>
      </c>
      <c r="AN165" s="8">
        <f t="shared" si="231"/>
        <v>50528.06</v>
      </c>
      <c r="AO165" s="8">
        <f t="shared" si="232"/>
        <v>4055.87</v>
      </c>
      <c r="AP165" s="8">
        <f t="shared" si="233"/>
        <v>50528.06</v>
      </c>
      <c r="AQ165" s="7">
        <f t="shared" si="234"/>
        <v>63887</v>
      </c>
      <c r="AR165" s="17">
        <f t="shared" si="235"/>
        <v>4055.87</v>
      </c>
      <c r="AS165" s="8">
        <f t="shared" si="236"/>
        <v>50528.06</v>
      </c>
      <c r="AT165" s="22">
        <f>(2806*11)+0.55*(F165-(F165/I165)*11)</f>
        <v>36722.308333333334</v>
      </c>
      <c r="AU165" s="8">
        <f t="shared" si="237"/>
        <v>4461.457</v>
      </c>
      <c r="AV165" s="8">
        <f t="shared" si="238"/>
        <v>50528.06</v>
      </c>
      <c r="AW165" s="7">
        <f t="shared" si="239"/>
        <v>48001.65699999999</v>
      </c>
      <c r="AX165" s="8" t="str">
        <f t="shared" si="216"/>
        <v>44464.69 IPPS</v>
      </c>
      <c r="AY165" s="14">
        <v>0</v>
      </c>
      <c r="AZ165" s="14">
        <v>0</v>
      </c>
      <c r="BA165" s="14">
        <v>0</v>
      </c>
      <c r="BB165" s="12">
        <f t="shared" si="250"/>
        <v>50528.06</v>
      </c>
      <c r="BC165" s="12">
        <f t="shared" si="251"/>
        <v>55580.866</v>
      </c>
      <c r="BD165" s="12">
        <f t="shared" si="252"/>
        <v>45475.254</v>
      </c>
      <c r="BE165" s="14">
        <v>0</v>
      </c>
      <c r="BF165" s="14">
        <v>0</v>
      </c>
      <c r="BG165" s="14">
        <v>0</v>
      </c>
      <c r="BH165" s="8">
        <f t="shared" si="240"/>
        <v>60633.67199999999</v>
      </c>
      <c r="BI165" s="8">
        <f t="shared" si="241"/>
        <v>50528.06</v>
      </c>
      <c r="BJ165" s="8">
        <f t="shared" si="242"/>
        <v>48001.65699999999</v>
      </c>
      <c r="BK165" s="8">
        <f t="shared" si="243"/>
        <v>50528.06</v>
      </c>
      <c r="BL165" s="58">
        <f>6.7909*9755</f>
        <v>66245.2295</v>
      </c>
      <c r="BM165" s="8">
        <f t="shared" si="244"/>
        <v>50528.06</v>
      </c>
      <c r="BN165" s="8">
        <f t="shared" si="245"/>
        <v>0</v>
      </c>
      <c r="BO165" s="8">
        <f t="shared" si="246"/>
        <v>89441.79999999999</v>
      </c>
    </row>
    <row r="166" spans="1:67" ht="19.5" customHeight="1">
      <c r="A166" s="10">
        <f t="shared" si="214"/>
        <v>165</v>
      </c>
      <c r="B166" s="10">
        <v>329</v>
      </c>
      <c r="C166" s="11" t="s">
        <v>378</v>
      </c>
      <c r="D166" s="30" t="s">
        <v>151</v>
      </c>
      <c r="E166" s="11" t="s">
        <v>372</v>
      </c>
      <c r="F166" s="42">
        <v>146861.60636363633</v>
      </c>
      <c r="G166" s="11" t="s">
        <v>378</v>
      </c>
      <c r="H166" s="48">
        <v>0</v>
      </c>
      <c r="I166" s="6">
        <v>10</v>
      </c>
      <c r="J166" s="8">
        <f t="shared" si="217"/>
        <v>49643.438</v>
      </c>
      <c r="K166" s="52" t="s">
        <v>382</v>
      </c>
      <c r="L166" s="17">
        <v>38187.26</v>
      </c>
      <c r="M166" s="17">
        <v>10444.74</v>
      </c>
      <c r="N166" s="12">
        <f>4.9072*10804.5</f>
        <v>53019.842399999994</v>
      </c>
      <c r="O166" s="8">
        <f t="shared" si="218"/>
        <v>38187.26</v>
      </c>
      <c r="P166" s="8">
        <f>F166*0.5</f>
        <v>73430.80318181816</v>
      </c>
      <c r="Q166" s="14">
        <v>0</v>
      </c>
      <c r="R166" s="14">
        <v>0</v>
      </c>
      <c r="S166" s="9">
        <f t="shared" si="219"/>
        <v>38187.26</v>
      </c>
      <c r="T166" s="21">
        <f t="shared" si="257"/>
        <v>39500</v>
      </c>
      <c r="U166" s="54">
        <f>4.6233*10568</f>
        <v>48859.034400000004</v>
      </c>
      <c r="V166" s="9">
        <f t="shared" si="221"/>
        <v>38187.26</v>
      </c>
      <c r="W166" s="12">
        <f t="shared" si="253"/>
        <v>38187.26</v>
      </c>
      <c r="X166" s="14">
        <f t="shared" si="222"/>
        <v>38187.26</v>
      </c>
      <c r="Y166" s="12">
        <f t="shared" si="254"/>
        <v>22020</v>
      </c>
      <c r="Z166" s="12">
        <f t="shared" si="223"/>
        <v>36277.897</v>
      </c>
      <c r="AA166" s="12">
        <f t="shared" si="224"/>
        <v>34368.534</v>
      </c>
      <c r="AB166" s="14">
        <v>0</v>
      </c>
      <c r="AC166" s="14">
        <v>0</v>
      </c>
      <c r="AD166" s="14">
        <f t="shared" si="225"/>
        <v>38187.26</v>
      </c>
      <c r="AE166" s="14">
        <f t="shared" si="226"/>
        <v>38187.26</v>
      </c>
      <c r="AF166" s="14">
        <v>0</v>
      </c>
      <c r="AG166" s="7">
        <f t="shared" si="256"/>
        <v>102803.12445454542</v>
      </c>
      <c r="AH166" s="12">
        <f t="shared" si="248"/>
        <v>42005.986000000004</v>
      </c>
      <c r="AI166" s="8">
        <f t="shared" si="249"/>
        <v>38187.26</v>
      </c>
      <c r="AJ166" s="14">
        <f t="shared" si="227"/>
        <v>52316.546200000004</v>
      </c>
      <c r="AK166" s="14">
        <f t="shared" si="228"/>
        <v>38187.26</v>
      </c>
      <c r="AL166" s="14">
        <f t="shared" si="229"/>
        <v>38187.26</v>
      </c>
      <c r="AM166" s="8">
        <f t="shared" si="230"/>
        <v>42005.986000000004</v>
      </c>
      <c r="AN166" s="8">
        <f t="shared" si="231"/>
        <v>38187.26</v>
      </c>
      <c r="AO166" s="8">
        <f t="shared" si="232"/>
        <v>10444.74</v>
      </c>
      <c r="AP166" s="14">
        <f t="shared" si="233"/>
        <v>38187.26</v>
      </c>
      <c r="AQ166" s="7">
        <f t="shared" si="234"/>
        <v>73430.80318181816</v>
      </c>
      <c r="AR166" s="17">
        <f t="shared" si="235"/>
        <v>10444.74</v>
      </c>
      <c r="AS166" s="14">
        <f t="shared" si="236"/>
        <v>38187.26</v>
      </c>
      <c r="AT166" s="22">
        <f>(2806*8)+0.55*(F166-(F166/I166)*8)</f>
        <v>38602.776699999995</v>
      </c>
      <c r="AU166" s="8">
        <f t="shared" si="237"/>
        <v>11489.214</v>
      </c>
      <c r="AV166" s="14">
        <f t="shared" si="238"/>
        <v>38187.26</v>
      </c>
      <c r="AW166" s="7">
        <f t="shared" si="239"/>
        <v>36277.897</v>
      </c>
      <c r="AX166" s="8" t="str">
        <f t="shared" si="216"/>
        <v>33604.79 IPPS</v>
      </c>
      <c r="AY166" s="14">
        <v>0</v>
      </c>
      <c r="AZ166" s="14">
        <v>0</v>
      </c>
      <c r="BA166" s="14">
        <v>0</v>
      </c>
      <c r="BB166" s="12">
        <f t="shared" si="250"/>
        <v>38187.26</v>
      </c>
      <c r="BC166" s="12">
        <f t="shared" si="251"/>
        <v>42005.986000000004</v>
      </c>
      <c r="BD166" s="12">
        <f t="shared" si="252"/>
        <v>34368.534</v>
      </c>
      <c r="BE166" s="14">
        <v>0</v>
      </c>
      <c r="BF166" s="14">
        <v>0</v>
      </c>
      <c r="BG166" s="14">
        <v>0</v>
      </c>
      <c r="BH166" s="8">
        <f t="shared" si="240"/>
        <v>45824.712</v>
      </c>
      <c r="BI166" s="14">
        <f t="shared" si="241"/>
        <v>38187.26</v>
      </c>
      <c r="BJ166" s="8">
        <f t="shared" si="242"/>
        <v>36277.897</v>
      </c>
      <c r="BK166" s="14">
        <f t="shared" si="243"/>
        <v>38187.26</v>
      </c>
      <c r="BL166" s="58">
        <f>4.6233*9755</f>
        <v>45100.29150000001</v>
      </c>
      <c r="BM166" s="14">
        <f t="shared" si="244"/>
        <v>38187.26</v>
      </c>
      <c r="BN166" s="8">
        <f t="shared" si="245"/>
        <v>0</v>
      </c>
      <c r="BO166" s="8">
        <f t="shared" si="246"/>
        <v>102803.12445454542</v>
      </c>
    </row>
    <row r="167" spans="1:67" ht="19.5" customHeight="1">
      <c r="A167" s="10">
        <f t="shared" si="214"/>
        <v>166</v>
      </c>
      <c r="B167" s="10">
        <v>683</v>
      </c>
      <c r="C167" s="11" t="s">
        <v>378</v>
      </c>
      <c r="D167" s="30" t="s">
        <v>152</v>
      </c>
      <c r="E167" s="11" t="s">
        <v>372</v>
      </c>
      <c r="F167" s="42">
        <v>27042.813636363637</v>
      </c>
      <c r="G167" s="11" t="s">
        <v>378</v>
      </c>
      <c r="H167" s="48">
        <v>0</v>
      </c>
      <c r="I167" s="6">
        <v>3</v>
      </c>
      <c r="J167" s="8">
        <f t="shared" si="217"/>
        <v>9169.537</v>
      </c>
      <c r="K167" s="52" t="s">
        <v>382</v>
      </c>
      <c r="L167" s="17">
        <v>7053.49</v>
      </c>
      <c r="M167" s="17">
        <v>3228.42</v>
      </c>
      <c r="N167" s="7">
        <f>0.8973*10804.5</f>
        <v>9694.87785</v>
      </c>
      <c r="O167" s="8">
        <f t="shared" si="218"/>
        <v>7053.49</v>
      </c>
      <c r="P167" s="8">
        <f aca="true" t="shared" si="258" ref="P167:P191">1.25*L167</f>
        <v>8816.8625</v>
      </c>
      <c r="Q167" s="14">
        <v>0</v>
      </c>
      <c r="R167" s="14">
        <v>0</v>
      </c>
      <c r="S167" s="9">
        <f t="shared" si="219"/>
        <v>7053.49</v>
      </c>
      <c r="T167" s="21">
        <f t="shared" si="257"/>
        <v>11850</v>
      </c>
      <c r="U167" s="54">
        <f>0.8949*10568</f>
        <v>9457.3032</v>
      </c>
      <c r="V167" s="8">
        <f t="shared" si="221"/>
        <v>7053.49</v>
      </c>
      <c r="W167" s="12">
        <f t="shared" si="253"/>
        <v>7053.49</v>
      </c>
      <c r="X167" s="8">
        <f t="shared" si="222"/>
        <v>7053.49</v>
      </c>
      <c r="Y167" s="12">
        <f t="shared" si="254"/>
        <v>6606</v>
      </c>
      <c r="Z167" s="12">
        <f t="shared" si="223"/>
        <v>6700.8155</v>
      </c>
      <c r="AA167" s="12">
        <f t="shared" si="224"/>
        <v>6348.141</v>
      </c>
      <c r="AB167" s="14">
        <v>0</v>
      </c>
      <c r="AC167" s="14">
        <v>0</v>
      </c>
      <c r="AD167" s="8">
        <f t="shared" si="225"/>
        <v>7053.49</v>
      </c>
      <c r="AE167" s="8">
        <f t="shared" si="226"/>
        <v>7053.49</v>
      </c>
      <c r="AF167" s="14">
        <v>0</v>
      </c>
      <c r="AG167" s="7">
        <f t="shared" si="256"/>
        <v>18929.969545454544</v>
      </c>
      <c r="AH167" s="12">
        <f t="shared" si="248"/>
        <v>7758.839</v>
      </c>
      <c r="AI167" s="8">
        <f t="shared" si="249"/>
        <v>7053.49</v>
      </c>
      <c r="AJ167" s="14">
        <f t="shared" si="227"/>
        <v>9663.2813</v>
      </c>
      <c r="AK167" s="8">
        <f t="shared" si="228"/>
        <v>7053.49</v>
      </c>
      <c r="AL167" s="8">
        <f t="shared" si="229"/>
        <v>7053.49</v>
      </c>
      <c r="AM167" s="8">
        <f t="shared" si="230"/>
        <v>7758.839</v>
      </c>
      <c r="AN167" s="8">
        <f t="shared" si="231"/>
        <v>7053.49</v>
      </c>
      <c r="AO167" s="8">
        <f t="shared" si="232"/>
        <v>3228.42</v>
      </c>
      <c r="AP167" s="8">
        <f t="shared" si="233"/>
        <v>7053.49</v>
      </c>
      <c r="AQ167" s="7">
        <f t="shared" si="234"/>
        <v>13521.406818181818</v>
      </c>
      <c r="AR167" s="17">
        <f t="shared" si="235"/>
        <v>3228.42</v>
      </c>
      <c r="AS167" s="8">
        <f t="shared" si="236"/>
        <v>7053.49</v>
      </c>
      <c r="AT167" s="12">
        <f aca="true" t="shared" si="259" ref="AT167:AT191">2806*I167</f>
        <v>8418</v>
      </c>
      <c r="AU167" s="8">
        <f t="shared" si="237"/>
        <v>3551.262</v>
      </c>
      <c r="AV167" s="8">
        <f t="shared" si="238"/>
        <v>7053.49</v>
      </c>
      <c r="AW167" s="7">
        <f t="shared" si="239"/>
        <v>6700.8155</v>
      </c>
      <c r="AX167" s="8" t="str">
        <f t="shared" si="216"/>
        <v>6207.07 IPPS</v>
      </c>
      <c r="AY167" s="14">
        <v>0</v>
      </c>
      <c r="AZ167" s="14">
        <v>0</v>
      </c>
      <c r="BA167" s="14">
        <v>0</v>
      </c>
      <c r="BB167" s="12">
        <f t="shared" si="250"/>
        <v>7053.49</v>
      </c>
      <c r="BC167" s="12">
        <f t="shared" si="251"/>
        <v>7758.839</v>
      </c>
      <c r="BD167" s="12">
        <f t="shared" si="252"/>
        <v>6348.141</v>
      </c>
      <c r="BE167" s="14">
        <v>0</v>
      </c>
      <c r="BF167" s="14">
        <v>0</v>
      </c>
      <c r="BG167" s="14">
        <v>0</v>
      </c>
      <c r="BH167" s="8">
        <f t="shared" si="240"/>
        <v>8464.188</v>
      </c>
      <c r="BI167" s="8">
        <f t="shared" si="241"/>
        <v>7053.49</v>
      </c>
      <c r="BJ167" s="8">
        <f t="shared" si="242"/>
        <v>6700.8155</v>
      </c>
      <c r="BK167" s="8">
        <f t="shared" si="243"/>
        <v>7053.49</v>
      </c>
      <c r="BL167" s="58">
        <f>0.8949*9755</f>
        <v>8729.7495</v>
      </c>
      <c r="BM167" s="8">
        <f t="shared" si="244"/>
        <v>7053.49</v>
      </c>
      <c r="BN167" s="8">
        <f t="shared" si="245"/>
        <v>0</v>
      </c>
      <c r="BO167" s="8">
        <f t="shared" si="246"/>
        <v>18929.969545454544</v>
      </c>
    </row>
    <row r="168" spans="1:67" ht="19.5" customHeight="1">
      <c r="A168" s="10">
        <f t="shared" si="214"/>
        <v>167</v>
      </c>
      <c r="B168" s="10">
        <v>189</v>
      </c>
      <c r="C168" s="11" t="s">
        <v>378</v>
      </c>
      <c r="D168" s="30" t="s">
        <v>95</v>
      </c>
      <c r="E168" s="11" t="s">
        <v>372</v>
      </c>
      <c r="F168" s="42">
        <v>32867.64</v>
      </c>
      <c r="G168" s="11" t="s">
        <v>378</v>
      </c>
      <c r="H168" s="48">
        <v>0</v>
      </c>
      <c r="I168" s="6">
        <v>4</v>
      </c>
      <c r="J168" s="8">
        <f t="shared" si="217"/>
        <v>12702.157</v>
      </c>
      <c r="K168" s="52" t="s">
        <v>382</v>
      </c>
      <c r="L168" s="17">
        <v>9770.89</v>
      </c>
      <c r="M168" s="17">
        <v>4073.05</v>
      </c>
      <c r="N168" s="12">
        <f>1.2157*10804.5</f>
        <v>13135.03065</v>
      </c>
      <c r="O168" s="8">
        <f t="shared" si="218"/>
        <v>9770.89</v>
      </c>
      <c r="P168" s="8">
        <f t="shared" si="258"/>
        <v>12213.6125</v>
      </c>
      <c r="Q168" s="14">
        <v>0</v>
      </c>
      <c r="R168" s="14">
        <v>0</v>
      </c>
      <c r="S168" s="9">
        <f t="shared" si="219"/>
        <v>9770.89</v>
      </c>
      <c r="T168" s="21">
        <f t="shared" si="257"/>
        <v>15800</v>
      </c>
      <c r="U168" s="54">
        <f>1.207*10568</f>
        <v>12755.576000000001</v>
      </c>
      <c r="V168" s="8">
        <f t="shared" si="221"/>
        <v>9770.89</v>
      </c>
      <c r="W168" s="12">
        <f t="shared" si="253"/>
        <v>9770.89</v>
      </c>
      <c r="X168" s="8">
        <f t="shared" si="222"/>
        <v>9770.89</v>
      </c>
      <c r="Y168" s="12">
        <f t="shared" si="254"/>
        <v>8808</v>
      </c>
      <c r="Z168" s="12">
        <f t="shared" si="223"/>
        <v>9282.3455</v>
      </c>
      <c r="AA168" s="12">
        <f t="shared" si="224"/>
        <v>8793.801</v>
      </c>
      <c r="AB168" s="14">
        <v>0</v>
      </c>
      <c r="AC168" s="14">
        <v>0</v>
      </c>
      <c r="AD168" s="8">
        <f t="shared" si="225"/>
        <v>9770.89</v>
      </c>
      <c r="AE168" s="8">
        <f t="shared" si="226"/>
        <v>9770.89</v>
      </c>
      <c r="AF168" s="14">
        <v>0</v>
      </c>
      <c r="AG168" s="7">
        <f t="shared" si="256"/>
        <v>23007.347999999998</v>
      </c>
      <c r="AH168" s="12">
        <f t="shared" si="248"/>
        <v>10747.979</v>
      </c>
      <c r="AI168" s="8">
        <f t="shared" si="249"/>
        <v>9770.89</v>
      </c>
      <c r="AJ168" s="14">
        <f t="shared" si="227"/>
        <v>13386.1193</v>
      </c>
      <c r="AK168" s="8">
        <f t="shared" si="228"/>
        <v>9770.89</v>
      </c>
      <c r="AL168" s="8">
        <f t="shared" si="229"/>
        <v>9770.89</v>
      </c>
      <c r="AM168" s="8">
        <f t="shared" si="230"/>
        <v>10747.979</v>
      </c>
      <c r="AN168" s="8">
        <f t="shared" si="231"/>
        <v>9770.89</v>
      </c>
      <c r="AO168" s="8">
        <f t="shared" si="232"/>
        <v>4073.05</v>
      </c>
      <c r="AP168" s="8">
        <f t="shared" si="233"/>
        <v>9770.89</v>
      </c>
      <c r="AQ168" s="7">
        <f t="shared" si="234"/>
        <v>16433.82</v>
      </c>
      <c r="AR168" s="17">
        <f t="shared" si="235"/>
        <v>4073.05</v>
      </c>
      <c r="AS168" s="8">
        <f t="shared" si="236"/>
        <v>9770.89</v>
      </c>
      <c r="AT168" s="12">
        <f t="shared" si="259"/>
        <v>11224</v>
      </c>
      <c r="AU168" s="8">
        <f t="shared" si="237"/>
        <v>4480.3550000000005</v>
      </c>
      <c r="AV168" s="8">
        <f t="shared" si="238"/>
        <v>9770.89</v>
      </c>
      <c r="AW168" s="7">
        <f t="shared" si="239"/>
        <v>9282.3455</v>
      </c>
      <c r="AX168" s="8" t="str">
        <f t="shared" si="216"/>
        <v>8598.38 IPPS</v>
      </c>
      <c r="AY168" s="14">
        <v>0</v>
      </c>
      <c r="AZ168" s="14">
        <v>0</v>
      </c>
      <c r="BA168" s="14">
        <v>0</v>
      </c>
      <c r="BB168" s="12">
        <f t="shared" si="250"/>
        <v>9770.89</v>
      </c>
      <c r="BC168" s="12">
        <f t="shared" si="251"/>
        <v>10747.979</v>
      </c>
      <c r="BD168" s="12">
        <f t="shared" si="252"/>
        <v>8793.801</v>
      </c>
      <c r="BE168" s="14">
        <v>0</v>
      </c>
      <c r="BF168" s="14">
        <v>0</v>
      </c>
      <c r="BG168" s="14">
        <v>0</v>
      </c>
      <c r="BH168" s="8">
        <f t="shared" si="240"/>
        <v>11725.068</v>
      </c>
      <c r="BI168" s="8">
        <f t="shared" si="241"/>
        <v>9770.89</v>
      </c>
      <c r="BJ168" s="8">
        <f t="shared" si="242"/>
        <v>9282.3455</v>
      </c>
      <c r="BK168" s="8">
        <f t="shared" si="243"/>
        <v>9770.89</v>
      </c>
      <c r="BL168" s="58">
        <f>1.207*9755</f>
        <v>11774.285</v>
      </c>
      <c r="BM168" s="8">
        <f t="shared" si="244"/>
        <v>9770.89</v>
      </c>
      <c r="BN168" s="8">
        <f t="shared" si="245"/>
        <v>0</v>
      </c>
      <c r="BO168" s="8">
        <f t="shared" si="246"/>
        <v>23007.347999999998</v>
      </c>
    </row>
    <row r="169" spans="1:67" ht="19.5" customHeight="1">
      <c r="A169" s="10">
        <f t="shared" si="214"/>
        <v>168</v>
      </c>
      <c r="B169" s="10">
        <v>193</v>
      </c>
      <c r="C169" s="11" t="s">
        <v>378</v>
      </c>
      <c r="D169" s="30" t="s">
        <v>273</v>
      </c>
      <c r="E169" s="11" t="s">
        <v>372</v>
      </c>
      <c r="F169" s="42">
        <v>52276.344</v>
      </c>
      <c r="G169" s="11" t="s">
        <v>378</v>
      </c>
      <c r="H169" s="48">
        <v>0</v>
      </c>
      <c r="I169" s="6">
        <v>4</v>
      </c>
      <c r="J169" s="8">
        <f t="shared" si="217"/>
        <v>13577.421</v>
      </c>
      <c r="K169" s="52" t="s">
        <v>382</v>
      </c>
      <c r="L169" s="17">
        <v>10444.17</v>
      </c>
      <c r="M169" s="17">
        <v>3138.05</v>
      </c>
      <c r="N169" s="12">
        <f>1.3335*10804.5</f>
        <v>14407.800749999999</v>
      </c>
      <c r="O169" s="8">
        <f t="shared" si="218"/>
        <v>10444.17</v>
      </c>
      <c r="P169" s="8">
        <f t="shared" si="258"/>
        <v>13055.2125</v>
      </c>
      <c r="Q169" s="14">
        <v>0</v>
      </c>
      <c r="R169" s="14">
        <v>0</v>
      </c>
      <c r="S169" s="9">
        <f t="shared" si="219"/>
        <v>10444.17</v>
      </c>
      <c r="T169" s="21">
        <f t="shared" si="257"/>
        <v>15800</v>
      </c>
      <c r="U169" s="54">
        <f>1.2987*10568</f>
        <v>13724.6616</v>
      </c>
      <c r="V169" s="8">
        <f t="shared" si="221"/>
        <v>10444.17</v>
      </c>
      <c r="W169" s="12">
        <f t="shared" si="253"/>
        <v>10444.17</v>
      </c>
      <c r="X169" s="8">
        <f t="shared" si="222"/>
        <v>10444.17</v>
      </c>
      <c r="Y169" s="12">
        <f t="shared" si="254"/>
        <v>8808</v>
      </c>
      <c r="Z169" s="12">
        <f t="shared" si="223"/>
        <v>9921.9615</v>
      </c>
      <c r="AA169" s="12">
        <f t="shared" si="224"/>
        <v>9399.753</v>
      </c>
      <c r="AB169" s="14">
        <v>0</v>
      </c>
      <c r="AC169" s="14">
        <v>0</v>
      </c>
      <c r="AD169" s="8">
        <f t="shared" si="225"/>
        <v>10444.17</v>
      </c>
      <c r="AE169" s="8">
        <f t="shared" si="226"/>
        <v>10444.17</v>
      </c>
      <c r="AF169" s="14">
        <v>0</v>
      </c>
      <c r="AG169" s="7">
        <f t="shared" si="256"/>
        <v>36593.4408</v>
      </c>
      <c r="AH169" s="12">
        <f t="shared" si="248"/>
        <v>11488.587000000001</v>
      </c>
      <c r="AI169" s="8">
        <f t="shared" si="249"/>
        <v>10444.17</v>
      </c>
      <c r="AJ169" s="14">
        <f t="shared" si="227"/>
        <v>14308.512900000002</v>
      </c>
      <c r="AK169" s="8">
        <f t="shared" si="228"/>
        <v>10444.17</v>
      </c>
      <c r="AL169" s="8">
        <f t="shared" si="229"/>
        <v>10444.17</v>
      </c>
      <c r="AM169" s="8">
        <f t="shared" si="230"/>
        <v>11488.587000000001</v>
      </c>
      <c r="AN169" s="8">
        <f t="shared" si="231"/>
        <v>10444.17</v>
      </c>
      <c r="AO169" s="8">
        <f t="shared" si="232"/>
        <v>3138.05</v>
      </c>
      <c r="AP169" s="8">
        <f t="shared" si="233"/>
        <v>10444.17</v>
      </c>
      <c r="AQ169" s="7">
        <f t="shared" si="234"/>
        <v>26138.172</v>
      </c>
      <c r="AR169" s="17">
        <f t="shared" si="235"/>
        <v>3138.05</v>
      </c>
      <c r="AS169" s="8">
        <f t="shared" si="236"/>
        <v>10444.17</v>
      </c>
      <c r="AT169" s="12">
        <f t="shared" si="259"/>
        <v>11224</v>
      </c>
      <c r="AU169" s="8">
        <f t="shared" si="237"/>
        <v>3451.8550000000005</v>
      </c>
      <c r="AV169" s="8">
        <f t="shared" si="238"/>
        <v>10444.17</v>
      </c>
      <c r="AW169" s="7">
        <f t="shared" si="239"/>
        <v>9921.9615</v>
      </c>
      <c r="AX169" s="8" t="str">
        <f t="shared" si="216"/>
        <v>9190.87 IPPS</v>
      </c>
      <c r="AY169" s="14">
        <v>0</v>
      </c>
      <c r="AZ169" s="14">
        <v>0</v>
      </c>
      <c r="BA169" s="14">
        <v>0</v>
      </c>
      <c r="BB169" s="12">
        <f t="shared" si="250"/>
        <v>10444.17</v>
      </c>
      <c r="BC169" s="12">
        <f t="shared" si="251"/>
        <v>11488.587000000001</v>
      </c>
      <c r="BD169" s="12">
        <f t="shared" si="252"/>
        <v>9399.753</v>
      </c>
      <c r="BE169" s="14">
        <v>0</v>
      </c>
      <c r="BF169" s="14">
        <v>0</v>
      </c>
      <c r="BG169" s="14">
        <v>0</v>
      </c>
      <c r="BH169" s="8">
        <f t="shared" si="240"/>
        <v>12533.003999999999</v>
      </c>
      <c r="BI169" s="8">
        <f t="shared" si="241"/>
        <v>10444.17</v>
      </c>
      <c r="BJ169" s="8">
        <f t="shared" si="242"/>
        <v>9921.9615</v>
      </c>
      <c r="BK169" s="8">
        <f t="shared" si="243"/>
        <v>10444.17</v>
      </c>
      <c r="BL169" s="58">
        <f>1.2987*9755</f>
        <v>12668.8185</v>
      </c>
      <c r="BM169" s="8">
        <f t="shared" si="244"/>
        <v>10444.17</v>
      </c>
      <c r="BN169" s="8">
        <f t="shared" si="245"/>
        <v>0</v>
      </c>
      <c r="BO169" s="8">
        <f t="shared" si="246"/>
        <v>36593.4408</v>
      </c>
    </row>
    <row r="170" spans="1:67" ht="19.5" customHeight="1">
      <c r="A170" s="10">
        <f t="shared" si="214"/>
        <v>169</v>
      </c>
      <c r="B170" s="10">
        <v>389</v>
      </c>
      <c r="C170" s="11" t="s">
        <v>378</v>
      </c>
      <c r="D170" s="30" t="s">
        <v>153</v>
      </c>
      <c r="E170" s="11" t="s">
        <v>372</v>
      </c>
      <c r="F170" s="42">
        <v>22601.421000000002</v>
      </c>
      <c r="G170" s="11" t="s">
        <v>378</v>
      </c>
      <c r="H170" s="48">
        <v>0</v>
      </c>
      <c r="I170" s="6">
        <v>3</v>
      </c>
      <c r="J170" s="8">
        <f t="shared" si="217"/>
        <v>8595.873</v>
      </c>
      <c r="K170" s="52" t="s">
        <v>382</v>
      </c>
      <c r="L170" s="17">
        <v>6612.21</v>
      </c>
      <c r="M170" s="17">
        <v>3639.9</v>
      </c>
      <c r="N170" s="12">
        <f>1.3891*10804.5</f>
        <v>15008.53095</v>
      </c>
      <c r="O170" s="8">
        <f t="shared" si="218"/>
        <v>6612.21</v>
      </c>
      <c r="P170" s="8">
        <f t="shared" si="258"/>
        <v>8265.2625</v>
      </c>
      <c r="Q170" s="14">
        <v>0</v>
      </c>
      <c r="R170" s="14">
        <v>0</v>
      </c>
      <c r="S170" s="9">
        <f t="shared" si="219"/>
        <v>6612.21</v>
      </c>
      <c r="T170" s="21">
        <f t="shared" si="257"/>
        <v>11850</v>
      </c>
      <c r="U170" s="54">
        <f>0.8071*10568</f>
        <v>8529.4328</v>
      </c>
      <c r="V170" s="8">
        <f t="shared" si="221"/>
        <v>6612.21</v>
      </c>
      <c r="W170" s="12">
        <f t="shared" si="253"/>
        <v>6612.21</v>
      </c>
      <c r="X170" s="8">
        <f t="shared" si="222"/>
        <v>6612.21</v>
      </c>
      <c r="Y170" s="12">
        <f t="shared" si="254"/>
        <v>6606</v>
      </c>
      <c r="Z170" s="12">
        <f t="shared" si="223"/>
        <v>6281.599499999999</v>
      </c>
      <c r="AA170" s="12">
        <f t="shared" si="224"/>
        <v>5950.9890000000005</v>
      </c>
      <c r="AB170" s="14">
        <v>0</v>
      </c>
      <c r="AC170" s="14">
        <v>0</v>
      </c>
      <c r="AD170" s="8">
        <f t="shared" si="225"/>
        <v>6612.21</v>
      </c>
      <c r="AE170" s="8">
        <f t="shared" si="226"/>
        <v>6612.21</v>
      </c>
      <c r="AF170" s="14">
        <v>0</v>
      </c>
      <c r="AG170" s="7">
        <f t="shared" si="256"/>
        <v>15820.994700000001</v>
      </c>
      <c r="AH170" s="12">
        <f t="shared" si="248"/>
        <v>7273.4310000000005</v>
      </c>
      <c r="AI170" s="8">
        <f t="shared" si="249"/>
        <v>6612.21</v>
      </c>
      <c r="AJ170" s="14">
        <f t="shared" si="227"/>
        <v>9058.727700000001</v>
      </c>
      <c r="AK170" s="8">
        <f t="shared" si="228"/>
        <v>6612.21</v>
      </c>
      <c r="AL170" s="8">
        <f t="shared" si="229"/>
        <v>6612.21</v>
      </c>
      <c r="AM170" s="8">
        <f t="shared" si="230"/>
        <v>7273.4310000000005</v>
      </c>
      <c r="AN170" s="8">
        <f t="shared" si="231"/>
        <v>6612.21</v>
      </c>
      <c r="AO170" s="8">
        <f t="shared" si="232"/>
        <v>3639.9</v>
      </c>
      <c r="AP170" s="8">
        <f t="shared" si="233"/>
        <v>6612.21</v>
      </c>
      <c r="AQ170" s="7">
        <f t="shared" si="234"/>
        <v>11300.710500000001</v>
      </c>
      <c r="AR170" s="17">
        <f t="shared" si="235"/>
        <v>3639.9</v>
      </c>
      <c r="AS170" s="8">
        <f t="shared" si="236"/>
        <v>6612.21</v>
      </c>
      <c r="AT170" s="12">
        <f t="shared" si="259"/>
        <v>8418</v>
      </c>
      <c r="AU170" s="8">
        <f t="shared" si="237"/>
        <v>4003.8900000000003</v>
      </c>
      <c r="AV170" s="8">
        <f t="shared" si="238"/>
        <v>6612.21</v>
      </c>
      <c r="AW170" s="7">
        <f t="shared" si="239"/>
        <v>6281.599499999999</v>
      </c>
      <c r="AX170" s="8" t="str">
        <f t="shared" si="216"/>
        <v>5818.74 IPPS</v>
      </c>
      <c r="AY170" s="14">
        <v>0</v>
      </c>
      <c r="AZ170" s="14">
        <v>0</v>
      </c>
      <c r="BA170" s="14">
        <v>0</v>
      </c>
      <c r="BB170" s="12">
        <f t="shared" si="250"/>
        <v>6612.21</v>
      </c>
      <c r="BC170" s="12">
        <f t="shared" si="251"/>
        <v>7273.4310000000005</v>
      </c>
      <c r="BD170" s="12">
        <f t="shared" si="252"/>
        <v>5950.9890000000005</v>
      </c>
      <c r="BE170" s="14">
        <v>0</v>
      </c>
      <c r="BF170" s="14">
        <v>0</v>
      </c>
      <c r="BG170" s="14">
        <v>0</v>
      </c>
      <c r="BH170" s="8">
        <f t="shared" si="240"/>
        <v>7934.652</v>
      </c>
      <c r="BI170" s="8">
        <f t="shared" si="241"/>
        <v>6612.21</v>
      </c>
      <c r="BJ170" s="8">
        <f t="shared" si="242"/>
        <v>6281.599499999999</v>
      </c>
      <c r="BK170" s="8">
        <f t="shared" si="243"/>
        <v>6612.21</v>
      </c>
      <c r="BL170" s="58">
        <f>0.8071*9755</f>
        <v>7873.2605</v>
      </c>
      <c r="BM170" s="8">
        <f t="shared" si="244"/>
        <v>6612.21</v>
      </c>
      <c r="BN170" s="8">
        <f t="shared" si="245"/>
        <v>0</v>
      </c>
      <c r="BO170" s="8">
        <f t="shared" si="246"/>
        <v>15820.994700000001</v>
      </c>
    </row>
    <row r="171" spans="1:67" ht="19.5" customHeight="1">
      <c r="A171" s="10">
        <f t="shared" si="214"/>
        <v>170</v>
      </c>
      <c r="B171" s="6">
        <v>640</v>
      </c>
      <c r="C171" s="11" t="s">
        <v>378</v>
      </c>
      <c r="D171" s="30" t="s">
        <v>248</v>
      </c>
      <c r="E171" s="11" t="s">
        <v>372</v>
      </c>
      <c r="F171" s="42">
        <v>19877.833333333332</v>
      </c>
      <c r="G171" s="11" t="s">
        <v>378</v>
      </c>
      <c r="H171" s="48">
        <v>0</v>
      </c>
      <c r="I171" s="6">
        <v>3</v>
      </c>
      <c r="J171" s="8">
        <f t="shared" si="217"/>
        <v>12733.149</v>
      </c>
      <c r="K171" s="52" t="s">
        <v>382</v>
      </c>
      <c r="L171" s="17">
        <v>9794.73</v>
      </c>
      <c r="M171" s="17">
        <v>8603.18</v>
      </c>
      <c r="N171" s="17">
        <f>1.2142*10804.5</f>
        <v>13118.8239</v>
      </c>
      <c r="O171" s="8">
        <f t="shared" si="218"/>
        <v>9794.73</v>
      </c>
      <c r="P171" s="8">
        <f t="shared" si="258"/>
        <v>12243.412499999999</v>
      </c>
      <c r="Q171" s="14">
        <v>0</v>
      </c>
      <c r="R171" s="14">
        <v>0</v>
      </c>
      <c r="S171" s="9">
        <f t="shared" si="219"/>
        <v>9794.73</v>
      </c>
      <c r="T171" s="21">
        <f t="shared" si="257"/>
        <v>11850</v>
      </c>
      <c r="U171" s="54">
        <f>1.2653*10568</f>
        <v>13371.690400000001</v>
      </c>
      <c r="V171" s="8">
        <f t="shared" si="221"/>
        <v>9794.73</v>
      </c>
      <c r="W171" s="12">
        <f t="shared" si="253"/>
        <v>9794.73</v>
      </c>
      <c r="X171" s="8">
        <f t="shared" si="222"/>
        <v>9794.73</v>
      </c>
      <c r="Y171" s="12">
        <f t="shared" si="254"/>
        <v>6606</v>
      </c>
      <c r="Z171" s="12">
        <f t="shared" si="223"/>
        <v>9304.993499999999</v>
      </c>
      <c r="AA171" s="12">
        <f t="shared" si="224"/>
        <v>8815.257</v>
      </c>
      <c r="AB171" s="14">
        <v>0</v>
      </c>
      <c r="AC171" s="14">
        <v>0</v>
      </c>
      <c r="AD171" s="8">
        <f t="shared" si="225"/>
        <v>9794.73</v>
      </c>
      <c r="AE171" s="8">
        <f t="shared" si="226"/>
        <v>9794.73</v>
      </c>
      <c r="AF171" s="14">
        <v>0</v>
      </c>
      <c r="AG171" s="7">
        <f t="shared" si="256"/>
        <v>13914.483333333332</v>
      </c>
      <c r="AH171" s="12">
        <f t="shared" si="248"/>
        <v>10774.203</v>
      </c>
      <c r="AI171" s="8">
        <f t="shared" si="249"/>
        <v>9794.73</v>
      </c>
      <c r="AJ171" s="14">
        <f t="shared" si="227"/>
        <v>13418.7801</v>
      </c>
      <c r="AK171" s="8">
        <f t="shared" si="228"/>
        <v>9794.73</v>
      </c>
      <c r="AL171" s="8">
        <f t="shared" si="229"/>
        <v>9794.73</v>
      </c>
      <c r="AM171" s="8">
        <f t="shared" si="230"/>
        <v>10774.203</v>
      </c>
      <c r="AN171" s="8">
        <f t="shared" si="231"/>
        <v>9794.73</v>
      </c>
      <c r="AO171" s="8">
        <f t="shared" si="232"/>
        <v>8603.18</v>
      </c>
      <c r="AP171" s="8">
        <f t="shared" si="233"/>
        <v>9794.73</v>
      </c>
      <c r="AQ171" s="7">
        <f t="shared" si="234"/>
        <v>9938.916666666666</v>
      </c>
      <c r="AR171" s="17">
        <f t="shared" si="235"/>
        <v>8603.18</v>
      </c>
      <c r="AS171" s="8">
        <f t="shared" si="236"/>
        <v>9794.73</v>
      </c>
      <c r="AT171" s="12">
        <f t="shared" si="259"/>
        <v>8418</v>
      </c>
      <c r="AU171" s="8">
        <f t="shared" si="237"/>
        <v>9463.498000000001</v>
      </c>
      <c r="AV171" s="8">
        <f t="shared" si="238"/>
        <v>9794.73</v>
      </c>
      <c r="AW171" s="7">
        <f t="shared" si="239"/>
        <v>9304.993499999999</v>
      </c>
      <c r="AX171" s="8" t="str">
        <f t="shared" si="216"/>
        <v>8619.36 IPPS</v>
      </c>
      <c r="AY171" s="14">
        <v>0</v>
      </c>
      <c r="AZ171" s="14">
        <v>0</v>
      </c>
      <c r="BA171" s="14">
        <v>0</v>
      </c>
      <c r="BB171" s="12">
        <f t="shared" si="250"/>
        <v>9794.73</v>
      </c>
      <c r="BC171" s="12">
        <f t="shared" si="251"/>
        <v>10774.203</v>
      </c>
      <c r="BD171" s="12">
        <f t="shared" si="252"/>
        <v>8815.257</v>
      </c>
      <c r="BE171" s="14">
        <v>0</v>
      </c>
      <c r="BF171" s="14">
        <v>0</v>
      </c>
      <c r="BG171" s="14">
        <v>0</v>
      </c>
      <c r="BH171" s="8">
        <f t="shared" si="240"/>
        <v>11753.676</v>
      </c>
      <c r="BI171" s="8">
        <f t="shared" si="241"/>
        <v>9794.73</v>
      </c>
      <c r="BJ171" s="8">
        <f t="shared" si="242"/>
        <v>9304.993499999999</v>
      </c>
      <c r="BK171" s="8">
        <f t="shared" si="243"/>
        <v>9794.73</v>
      </c>
      <c r="BL171" s="58">
        <f>1.2653*9755</f>
        <v>12343.0015</v>
      </c>
      <c r="BM171" s="8">
        <f t="shared" si="244"/>
        <v>9794.73</v>
      </c>
      <c r="BN171" s="8">
        <f t="shared" si="245"/>
        <v>0</v>
      </c>
      <c r="BO171" s="8">
        <f t="shared" si="246"/>
        <v>13914.483333333332</v>
      </c>
    </row>
    <row r="172" spans="1:67" ht="19.5" customHeight="1">
      <c r="A172" s="10">
        <f t="shared" si="214"/>
        <v>171</v>
      </c>
      <c r="B172" s="6">
        <v>690</v>
      </c>
      <c r="C172" s="11" t="s">
        <v>378</v>
      </c>
      <c r="D172" s="30" t="s">
        <v>249</v>
      </c>
      <c r="E172" s="11" t="s">
        <v>372</v>
      </c>
      <c r="F172" s="42">
        <v>12074.400000000001</v>
      </c>
      <c r="G172" s="11" t="s">
        <v>378</v>
      </c>
      <c r="H172" s="48">
        <v>0</v>
      </c>
      <c r="I172" s="6">
        <v>3</v>
      </c>
      <c r="J172" s="8">
        <f t="shared" si="217"/>
        <v>8294.52</v>
      </c>
      <c r="K172" s="52" t="s">
        <v>382</v>
      </c>
      <c r="L172" s="17">
        <v>6380.4</v>
      </c>
      <c r="M172" s="17">
        <v>8770.43</v>
      </c>
      <c r="N172" s="17">
        <f>0.7908*10804.5</f>
        <v>8544.1986</v>
      </c>
      <c r="O172" s="8">
        <f t="shared" si="218"/>
        <v>6380.4</v>
      </c>
      <c r="P172" s="8">
        <f t="shared" si="258"/>
        <v>7975.5</v>
      </c>
      <c r="Q172" s="14">
        <v>0</v>
      </c>
      <c r="R172" s="14">
        <v>0</v>
      </c>
      <c r="S172" s="9">
        <f t="shared" si="219"/>
        <v>6380.4</v>
      </c>
      <c r="T172" s="21">
        <f t="shared" si="257"/>
        <v>11850</v>
      </c>
      <c r="U172" s="54">
        <f>0.7956*10568</f>
        <v>8407.9008</v>
      </c>
      <c r="V172" s="8">
        <f t="shared" si="221"/>
        <v>6380.4</v>
      </c>
      <c r="W172" s="12">
        <f t="shared" si="253"/>
        <v>6380.4</v>
      </c>
      <c r="X172" s="8">
        <f t="shared" si="222"/>
        <v>6380.4</v>
      </c>
      <c r="Y172" s="12">
        <f t="shared" si="254"/>
        <v>6606</v>
      </c>
      <c r="Z172" s="12">
        <f t="shared" si="223"/>
        <v>6061.379999999999</v>
      </c>
      <c r="AA172" s="12">
        <f t="shared" si="224"/>
        <v>5742.36</v>
      </c>
      <c r="AB172" s="14">
        <v>0</v>
      </c>
      <c r="AC172" s="14">
        <v>0</v>
      </c>
      <c r="AD172" s="8">
        <f t="shared" si="225"/>
        <v>6380.4</v>
      </c>
      <c r="AE172" s="8">
        <f t="shared" si="226"/>
        <v>6380.4</v>
      </c>
      <c r="AF172" s="14">
        <v>0</v>
      </c>
      <c r="AG172" s="7">
        <f t="shared" si="256"/>
        <v>8452.08</v>
      </c>
      <c r="AH172" s="12">
        <f t="shared" si="248"/>
        <v>7018.4400000000005</v>
      </c>
      <c r="AI172" s="8">
        <f t="shared" si="249"/>
        <v>6380.4</v>
      </c>
      <c r="AJ172" s="14">
        <f t="shared" si="227"/>
        <v>8741.148000000001</v>
      </c>
      <c r="AK172" s="8">
        <f t="shared" si="228"/>
        <v>6380.4</v>
      </c>
      <c r="AL172" s="8">
        <f t="shared" si="229"/>
        <v>6380.4</v>
      </c>
      <c r="AM172" s="8">
        <f t="shared" si="230"/>
        <v>7018.4400000000005</v>
      </c>
      <c r="AN172" s="8">
        <f t="shared" si="231"/>
        <v>6380.4</v>
      </c>
      <c r="AO172" s="8">
        <f t="shared" si="232"/>
        <v>8770.43</v>
      </c>
      <c r="AP172" s="8">
        <f t="shared" si="233"/>
        <v>6380.4</v>
      </c>
      <c r="AQ172" s="7">
        <f t="shared" si="234"/>
        <v>6037.200000000001</v>
      </c>
      <c r="AR172" s="17">
        <f t="shared" si="235"/>
        <v>8770.43</v>
      </c>
      <c r="AS172" s="8">
        <f t="shared" si="236"/>
        <v>6380.4</v>
      </c>
      <c r="AT172" s="12">
        <f t="shared" si="259"/>
        <v>8418</v>
      </c>
      <c r="AU172" s="8">
        <f t="shared" si="237"/>
        <v>9647.473000000002</v>
      </c>
      <c r="AV172" s="8">
        <f t="shared" si="238"/>
        <v>6380.4</v>
      </c>
      <c r="AW172" s="7">
        <f t="shared" si="239"/>
        <v>6061.379999999999</v>
      </c>
      <c r="AX172" s="8" t="str">
        <f t="shared" si="216"/>
        <v>5614.75 IPPS</v>
      </c>
      <c r="AY172" s="14">
        <v>0</v>
      </c>
      <c r="AZ172" s="14">
        <v>0</v>
      </c>
      <c r="BA172" s="14">
        <v>0</v>
      </c>
      <c r="BB172" s="12">
        <f t="shared" si="250"/>
        <v>6380.4</v>
      </c>
      <c r="BC172" s="12">
        <f t="shared" si="251"/>
        <v>7018.4400000000005</v>
      </c>
      <c r="BD172" s="12">
        <f t="shared" si="252"/>
        <v>5742.36</v>
      </c>
      <c r="BE172" s="14">
        <v>0</v>
      </c>
      <c r="BF172" s="14">
        <v>0</v>
      </c>
      <c r="BG172" s="14">
        <v>0</v>
      </c>
      <c r="BH172" s="8">
        <f t="shared" si="240"/>
        <v>7656.48</v>
      </c>
      <c r="BI172" s="8">
        <f t="shared" si="241"/>
        <v>6380.4</v>
      </c>
      <c r="BJ172" s="8">
        <f t="shared" si="242"/>
        <v>6061.379999999999</v>
      </c>
      <c r="BK172" s="8">
        <f t="shared" si="243"/>
        <v>6380.4</v>
      </c>
      <c r="BL172" s="58">
        <f>0.7956*9755</f>
        <v>7761.0779999999995</v>
      </c>
      <c r="BM172" s="8">
        <f t="shared" si="244"/>
        <v>6380.4</v>
      </c>
      <c r="BN172" s="8">
        <f t="shared" si="245"/>
        <v>0</v>
      </c>
      <c r="BO172" s="8">
        <f t="shared" si="246"/>
        <v>11850</v>
      </c>
    </row>
    <row r="173" spans="1:67" ht="19.5" customHeight="1">
      <c r="A173" s="10">
        <f t="shared" si="214"/>
        <v>172</v>
      </c>
      <c r="B173" s="6">
        <v>378</v>
      </c>
      <c r="C173" s="11" t="s">
        <v>378</v>
      </c>
      <c r="D173" s="30" t="s">
        <v>250</v>
      </c>
      <c r="E173" s="11" t="s">
        <v>372</v>
      </c>
      <c r="F173" s="42">
        <v>31769.745000000003</v>
      </c>
      <c r="G173" s="11" t="s">
        <v>378</v>
      </c>
      <c r="H173" s="48">
        <v>0</v>
      </c>
      <c r="I173" s="6">
        <v>3</v>
      </c>
      <c r="J173" s="8">
        <f t="shared" si="217"/>
        <v>10342.657000000001</v>
      </c>
      <c r="K173" s="52" t="s">
        <v>382</v>
      </c>
      <c r="L173" s="17">
        <v>7955.89</v>
      </c>
      <c r="M173" s="17">
        <v>4086.08</v>
      </c>
      <c r="N173" s="17">
        <f>0.9881*10804.5</f>
        <v>10675.926449999999</v>
      </c>
      <c r="O173" s="8">
        <f t="shared" si="218"/>
        <v>7955.89</v>
      </c>
      <c r="P173" s="8">
        <f t="shared" si="258"/>
        <v>9944.862500000001</v>
      </c>
      <c r="Q173" s="14">
        <v>0</v>
      </c>
      <c r="R173" s="14">
        <v>0</v>
      </c>
      <c r="S173" s="9">
        <f t="shared" si="219"/>
        <v>7955.89</v>
      </c>
      <c r="T173" s="21">
        <f t="shared" si="257"/>
        <v>11850</v>
      </c>
      <c r="U173" s="54">
        <f>0.985*10568</f>
        <v>10409.48</v>
      </c>
      <c r="V173" s="8">
        <f t="shared" si="221"/>
        <v>7955.89</v>
      </c>
      <c r="W173" s="12">
        <f t="shared" si="253"/>
        <v>7955.89</v>
      </c>
      <c r="X173" s="8">
        <f t="shared" si="222"/>
        <v>7955.89</v>
      </c>
      <c r="Y173" s="12">
        <f t="shared" si="254"/>
        <v>6606</v>
      </c>
      <c r="Z173" s="12">
        <f t="shared" si="223"/>
        <v>7558.0955</v>
      </c>
      <c r="AA173" s="12">
        <f t="shared" si="224"/>
        <v>7160.301</v>
      </c>
      <c r="AB173" s="14">
        <v>0</v>
      </c>
      <c r="AC173" s="14">
        <v>0</v>
      </c>
      <c r="AD173" s="8">
        <f t="shared" si="225"/>
        <v>7955.89</v>
      </c>
      <c r="AE173" s="8">
        <f t="shared" si="226"/>
        <v>7955.89</v>
      </c>
      <c r="AF173" s="14">
        <v>0</v>
      </c>
      <c r="AG173" s="7">
        <f t="shared" si="256"/>
        <v>22238.821500000002</v>
      </c>
      <c r="AH173" s="12">
        <f t="shared" si="248"/>
        <v>8751.479000000001</v>
      </c>
      <c r="AI173" s="8">
        <f t="shared" si="249"/>
        <v>7955.89</v>
      </c>
      <c r="AJ173" s="14">
        <f t="shared" si="227"/>
        <v>10899.569300000001</v>
      </c>
      <c r="AK173" s="8">
        <f t="shared" si="228"/>
        <v>7955.89</v>
      </c>
      <c r="AL173" s="8">
        <f t="shared" si="229"/>
        <v>7955.89</v>
      </c>
      <c r="AM173" s="8">
        <f t="shared" si="230"/>
        <v>8751.479000000001</v>
      </c>
      <c r="AN173" s="8">
        <f t="shared" si="231"/>
        <v>7955.89</v>
      </c>
      <c r="AO173" s="8">
        <f t="shared" si="232"/>
        <v>4086.08</v>
      </c>
      <c r="AP173" s="8">
        <f t="shared" si="233"/>
        <v>7955.89</v>
      </c>
      <c r="AQ173" s="7">
        <f t="shared" si="234"/>
        <v>15884.872500000001</v>
      </c>
      <c r="AR173" s="17">
        <f t="shared" si="235"/>
        <v>4086.08</v>
      </c>
      <c r="AS173" s="8">
        <f t="shared" si="236"/>
        <v>7955.89</v>
      </c>
      <c r="AT173" s="12">
        <f t="shared" si="259"/>
        <v>8418</v>
      </c>
      <c r="AU173" s="8">
        <f t="shared" si="237"/>
        <v>4494.688</v>
      </c>
      <c r="AV173" s="8">
        <f t="shared" si="238"/>
        <v>7955.89</v>
      </c>
      <c r="AW173" s="7">
        <f t="shared" si="239"/>
        <v>7558.0955</v>
      </c>
      <c r="AX173" s="8" t="str">
        <f t="shared" si="216"/>
        <v>7001.18 IPPS</v>
      </c>
      <c r="AY173" s="14">
        <v>0</v>
      </c>
      <c r="AZ173" s="14">
        <v>0</v>
      </c>
      <c r="BA173" s="14">
        <v>0</v>
      </c>
      <c r="BB173" s="12">
        <f t="shared" si="250"/>
        <v>7955.89</v>
      </c>
      <c r="BC173" s="12">
        <f t="shared" si="251"/>
        <v>8751.479000000001</v>
      </c>
      <c r="BD173" s="12">
        <f t="shared" si="252"/>
        <v>7160.301</v>
      </c>
      <c r="BE173" s="14">
        <v>0</v>
      </c>
      <c r="BF173" s="14">
        <v>0</v>
      </c>
      <c r="BG173" s="14">
        <v>0</v>
      </c>
      <c r="BH173" s="8">
        <f t="shared" si="240"/>
        <v>9547.068</v>
      </c>
      <c r="BI173" s="8">
        <f t="shared" si="241"/>
        <v>7955.89</v>
      </c>
      <c r="BJ173" s="8">
        <f t="shared" si="242"/>
        <v>7558.0955</v>
      </c>
      <c r="BK173" s="8">
        <f t="shared" si="243"/>
        <v>7955.89</v>
      </c>
      <c r="BL173" s="58">
        <f>0.985*9755</f>
        <v>9608.675</v>
      </c>
      <c r="BM173" s="8">
        <f t="shared" si="244"/>
        <v>7955.89</v>
      </c>
      <c r="BN173" s="8">
        <f t="shared" si="245"/>
        <v>0</v>
      </c>
      <c r="BO173" s="8">
        <f t="shared" si="246"/>
        <v>22238.821500000002</v>
      </c>
    </row>
    <row r="174" spans="1:67" ht="19.5" customHeight="1">
      <c r="A174" s="10">
        <f t="shared" si="214"/>
        <v>173</v>
      </c>
      <c r="B174" s="6">
        <v>70</v>
      </c>
      <c r="C174" s="11" t="s">
        <v>378</v>
      </c>
      <c r="D174" s="30" t="s">
        <v>251</v>
      </c>
      <c r="E174" s="11" t="s">
        <v>372</v>
      </c>
      <c r="F174" s="42">
        <v>37050.506250000006</v>
      </c>
      <c r="G174" s="11" t="s">
        <v>378</v>
      </c>
      <c r="H174" s="48">
        <v>0</v>
      </c>
      <c r="I174" s="6">
        <v>5</v>
      </c>
      <c r="J174" s="8">
        <f t="shared" si="217"/>
        <v>17304.196</v>
      </c>
      <c r="K174" s="52" t="s">
        <v>382</v>
      </c>
      <c r="L174" s="17">
        <v>13310.92</v>
      </c>
      <c r="M174" s="17">
        <v>5688.58</v>
      </c>
      <c r="N174" s="17">
        <f>1.6729*10804.5</f>
        <v>18074.84805</v>
      </c>
      <c r="O174" s="8">
        <f t="shared" si="218"/>
        <v>13310.92</v>
      </c>
      <c r="P174" s="8">
        <f t="shared" si="258"/>
        <v>16638.65</v>
      </c>
      <c r="Q174" s="14">
        <v>0</v>
      </c>
      <c r="R174" s="14">
        <v>0</v>
      </c>
      <c r="S174" s="9">
        <f t="shared" si="219"/>
        <v>13310.92</v>
      </c>
      <c r="T174" s="21">
        <f t="shared" si="257"/>
        <v>19750</v>
      </c>
      <c r="U174" s="54">
        <f>1.7242*10568</f>
        <v>18221.3456</v>
      </c>
      <c r="V174" s="8">
        <f t="shared" si="221"/>
        <v>13310.92</v>
      </c>
      <c r="W174" s="12">
        <f t="shared" si="253"/>
        <v>13310.92</v>
      </c>
      <c r="X174" s="8">
        <f t="shared" si="222"/>
        <v>13310.92</v>
      </c>
      <c r="Y174" s="12">
        <f t="shared" si="254"/>
        <v>11010</v>
      </c>
      <c r="Z174" s="12">
        <f t="shared" si="223"/>
        <v>12645.374</v>
      </c>
      <c r="AA174" s="12">
        <f t="shared" si="224"/>
        <v>11979.828</v>
      </c>
      <c r="AB174" s="14">
        <v>0</v>
      </c>
      <c r="AC174" s="14">
        <v>0</v>
      </c>
      <c r="AD174" s="8">
        <f t="shared" si="225"/>
        <v>13310.92</v>
      </c>
      <c r="AE174" s="8">
        <f t="shared" si="226"/>
        <v>13310.92</v>
      </c>
      <c r="AF174" s="14">
        <v>0</v>
      </c>
      <c r="AG174" s="7">
        <f t="shared" si="256"/>
        <v>25935.354375000003</v>
      </c>
      <c r="AH174" s="12">
        <f t="shared" si="248"/>
        <v>14642.012</v>
      </c>
      <c r="AI174" s="8">
        <f t="shared" si="249"/>
        <v>13310.92</v>
      </c>
      <c r="AJ174" s="14">
        <f t="shared" si="227"/>
        <v>18235.9604</v>
      </c>
      <c r="AK174" s="8">
        <f t="shared" si="228"/>
        <v>13310.92</v>
      </c>
      <c r="AL174" s="8">
        <f t="shared" si="229"/>
        <v>13310.92</v>
      </c>
      <c r="AM174" s="8">
        <f t="shared" si="230"/>
        <v>14642.012</v>
      </c>
      <c r="AN174" s="8">
        <f t="shared" si="231"/>
        <v>13310.92</v>
      </c>
      <c r="AO174" s="8">
        <f t="shared" si="232"/>
        <v>5688.58</v>
      </c>
      <c r="AP174" s="8">
        <f t="shared" si="233"/>
        <v>13310.92</v>
      </c>
      <c r="AQ174" s="7">
        <f t="shared" si="234"/>
        <v>18525.253125000003</v>
      </c>
      <c r="AR174" s="17">
        <f t="shared" si="235"/>
        <v>5688.58</v>
      </c>
      <c r="AS174" s="8">
        <f t="shared" si="236"/>
        <v>13310.92</v>
      </c>
      <c r="AT174" s="12">
        <f t="shared" si="259"/>
        <v>14030</v>
      </c>
      <c r="AU174" s="8">
        <f t="shared" si="237"/>
        <v>6257.438</v>
      </c>
      <c r="AV174" s="8">
        <f t="shared" si="238"/>
        <v>13310.92</v>
      </c>
      <c r="AW174" s="7">
        <f t="shared" si="239"/>
        <v>12645.374</v>
      </c>
      <c r="AX174" s="8" t="str">
        <f t="shared" si="216"/>
        <v>11713.61 IPPS</v>
      </c>
      <c r="AY174" s="14">
        <v>0</v>
      </c>
      <c r="AZ174" s="14">
        <v>0</v>
      </c>
      <c r="BA174" s="14">
        <v>0</v>
      </c>
      <c r="BB174" s="12">
        <f t="shared" si="250"/>
        <v>13310.92</v>
      </c>
      <c r="BC174" s="12">
        <f t="shared" si="251"/>
        <v>14642.012</v>
      </c>
      <c r="BD174" s="12">
        <f t="shared" si="252"/>
        <v>11979.828</v>
      </c>
      <c r="BE174" s="14">
        <v>0</v>
      </c>
      <c r="BF174" s="14">
        <v>0</v>
      </c>
      <c r="BG174" s="14">
        <v>0</v>
      </c>
      <c r="BH174" s="8">
        <f t="shared" si="240"/>
        <v>15973.104</v>
      </c>
      <c r="BI174" s="8">
        <f t="shared" si="241"/>
        <v>13310.92</v>
      </c>
      <c r="BJ174" s="8">
        <f t="shared" si="242"/>
        <v>12645.374</v>
      </c>
      <c r="BK174" s="8">
        <f t="shared" si="243"/>
        <v>13310.92</v>
      </c>
      <c r="BL174" s="58">
        <f>1.7242*9755</f>
        <v>16819.571</v>
      </c>
      <c r="BM174" s="8">
        <f t="shared" si="244"/>
        <v>13310.92</v>
      </c>
      <c r="BN174" s="8">
        <f t="shared" si="245"/>
        <v>0</v>
      </c>
      <c r="BO174" s="8">
        <f t="shared" si="246"/>
        <v>25935.354375000003</v>
      </c>
    </row>
    <row r="175" spans="1:67" ht="19.5" customHeight="1">
      <c r="A175" s="10">
        <f t="shared" si="214"/>
        <v>174</v>
      </c>
      <c r="B175" s="6">
        <v>438</v>
      </c>
      <c r="C175" s="11" t="s">
        <v>378</v>
      </c>
      <c r="D175" s="30" t="s">
        <v>252</v>
      </c>
      <c r="E175" s="11" t="s">
        <v>372</v>
      </c>
      <c r="F175" s="42">
        <v>33264.55625</v>
      </c>
      <c r="G175" s="11" t="s">
        <v>378</v>
      </c>
      <c r="H175" s="48">
        <v>0</v>
      </c>
      <c r="I175" s="6">
        <v>5</v>
      </c>
      <c r="J175" s="8">
        <f t="shared" si="217"/>
        <v>16488.017</v>
      </c>
      <c r="K175" s="52" t="s">
        <v>382</v>
      </c>
      <c r="L175" s="17">
        <v>12683.09</v>
      </c>
      <c r="M175" s="17">
        <v>4116.48</v>
      </c>
      <c r="N175" s="17">
        <f>1.6383*10804.5</f>
        <v>17701.01235</v>
      </c>
      <c r="O175" s="8">
        <f t="shared" si="218"/>
        <v>12683.09</v>
      </c>
      <c r="P175" s="8">
        <f t="shared" si="258"/>
        <v>15853.8625</v>
      </c>
      <c r="Q175" s="14">
        <v>0</v>
      </c>
      <c r="R175" s="14">
        <v>0</v>
      </c>
      <c r="S175" s="9">
        <f t="shared" si="219"/>
        <v>12683.09</v>
      </c>
      <c r="T175" s="21">
        <f t="shared" si="257"/>
        <v>19750</v>
      </c>
      <c r="U175" s="54">
        <f>1.6574*10568</f>
        <v>17515.4032</v>
      </c>
      <c r="V175" s="8">
        <f t="shared" si="221"/>
        <v>12683.09</v>
      </c>
      <c r="W175" s="12">
        <f t="shared" si="253"/>
        <v>12683.09</v>
      </c>
      <c r="X175" s="8">
        <f t="shared" si="222"/>
        <v>12683.09</v>
      </c>
      <c r="Y175" s="12">
        <f t="shared" si="254"/>
        <v>11010</v>
      </c>
      <c r="Z175" s="12">
        <f t="shared" si="223"/>
        <v>12048.9355</v>
      </c>
      <c r="AA175" s="12">
        <f t="shared" si="224"/>
        <v>11414.781</v>
      </c>
      <c r="AB175" s="14">
        <v>0</v>
      </c>
      <c r="AC175" s="14">
        <v>0</v>
      </c>
      <c r="AD175" s="8">
        <f t="shared" si="225"/>
        <v>12683.09</v>
      </c>
      <c r="AE175" s="8">
        <f t="shared" si="226"/>
        <v>12683.09</v>
      </c>
      <c r="AF175" s="14">
        <v>0</v>
      </c>
      <c r="AG175" s="7">
        <f t="shared" si="256"/>
        <v>23285.189374999998</v>
      </c>
      <c r="AH175" s="12">
        <f t="shared" si="248"/>
        <v>13951.399000000001</v>
      </c>
      <c r="AI175" s="8">
        <f t="shared" si="249"/>
        <v>12683.09</v>
      </c>
      <c r="AJ175" s="14">
        <f t="shared" si="227"/>
        <v>17375.833300000002</v>
      </c>
      <c r="AK175" s="8">
        <f t="shared" si="228"/>
        <v>12683.09</v>
      </c>
      <c r="AL175" s="8">
        <f t="shared" si="229"/>
        <v>12683.09</v>
      </c>
      <c r="AM175" s="8">
        <f t="shared" si="230"/>
        <v>13951.399000000001</v>
      </c>
      <c r="AN175" s="8">
        <f t="shared" si="231"/>
        <v>12683.09</v>
      </c>
      <c r="AO175" s="8">
        <f t="shared" si="232"/>
        <v>4116.48</v>
      </c>
      <c r="AP175" s="8">
        <f t="shared" si="233"/>
        <v>12683.09</v>
      </c>
      <c r="AQ175" s="7">
        <f t="shared" si="234"/>
        <v>16632.278125</v>
      </c>
      <c r="AR175" s="17">
        <f t="shared" si="235"/>
        <v>4116.48</v>
      </c>
      <c r="AS175" s="8">
        <f t="shared" si="236"/>
        <v>12683.09</v>
      </c>
      <c r="AT175" s="12">
        <f t="shared" si="259"/>
        <v>14030</v>
      </c>
      <c r="AU175" s="8">
        <f t="shared" si="237"/>
        <v>4528.128</v>
      </c>
      <c r="AV175" s="8">
        <f t="shared" si="238"/>
        <v>12683.09</v>
      </c>
      <c r="AW175" s="7">
        <f t="shared" si="239"/>
        <v>12048.9355</v>
      </c>
      <c r="AX175" s="8" t="str">
        <f t="shared" si="216"/>
        <v>11161.12 IPPS</v>
      </c>
      <c r="AY175" s="14">
        <v>0</v>
      </c>
      <c r="AZ175" s="14">
        <v>0</v>
      </c>
      <c r="BA175" s="14">
        <v>0</v>
      </c>
      <c r="BB175" s="12">
        <f t="shared" si="250"/>
        <v>12683.09</v>
      </c>
      <c r="BC175" s="12">
        <f t="shared" si="251"/>
        <v>13951.399000000001</v>
      </c>
      <c r="BD175" s="12">
        <f t="shared" si="252"/>
        <v>11414.781</v>
      </c>
      <c r="BE175" s="14">
        <v>0</v>
      </c>
      <c r="BF175" s="14">
        <v>0</v>
      </c>
      <c r="BG175" s="14">
        <v>0</v>
      </c>
      <c r="BH175" s="8">
        <f t="shared" si="240"/>
        <v>15219.707999999999</v>
      </c>
      <c r="BI175" s="8">
        <f t="shared" si="241"/>
        <v>12683.09</v>
      </c>
      <c r="BJ175" s="8">
        <f t="shared" si="242"/>
        <v>12048.9355</v>
      </c>
      <c r="BK175" s="8">
        <f t="shared" si="243"/>
        <v>12683.09</v>
      </c>
      <c r="BL175" s="58">
        <f>1.6574*9755</f>
        <v>16167.937</v>
      </c>
      <c r="BM175" s="8">
        <f t="shared" si="244"/>
        <v>12683.09</v>
      </c>
      <c r="BN175" s="8">
        <f t="shared" si="245"/>
        <v>0</v>
      </c>
      <c r="BO175" s="8">
        <f t="shared" si="246"/>
        <v>23285.189374999998</v>
      </c>
    </row>
    <row r="176" spans="1:67" ht="19.5" customHeight="1">
      <c r="A176" s="10">
        <f t="shared" si="214"/>
        <v>175</v>
      </c>
      <c r="B176" s="6">
        <v>603</v>
      </c>
      <c r="C176" s="11" t="s">
        <v>378</v>
      </c>
      <c r="D176" s="30" t="s">
        <v>253</v>
      </c>
      <c r="E176" s="11" t="s">
        <v>372</v>
      </c>
      <c r="F176" s="42">
        <v>13987.249999999998</v>
      </c>
      <c r="G176" s="11" t="s">
        <v>378</v>
      </c>
      <c r="H176" s="48">
        <v>0</v>
      </c>
      <c r="I176" s="6">
        <v>3</v>
      </c>
      <c r="J176" s="8">
        <f t="shared" si="217"/>
        <v>8830.51</v>
      </c>
      <c r="K176" s="52" t="s">
        <v>382</v>
      </c>
      <c r="L176" s="17">
        <v>6792.7</v>
      </c>
      <c r="M176" s="17">
        <v>3202.72</v>
      </c>
      <c r="N176" s="17">
        <f>0.8435*10804.5</f>
        <v>9113.59575</v>
      </c>
      <c r="O176" s="8">
        <f t="shared" si="218"/>
        <v>6792.7</v>
      </c>
      <c r="P176" s="8">
        <f t="shared" si="258"/>
        <v>8490.875</v>
      </c>
      <c r="Q176" s="14">
        <v>0</v>
      </c>
      <c r="R176" s="14">
        <v>0</v>
      </c>
      <c r="S176" s="9">
        <f t="shared" si="219"/>
        <v>6792.7</v>
      </c>
      <c r="T176" s="21">
        <f t="shared" si="257"/>
        <v>11850</v>
      </c>
      <c r="U176" s="54">
        <f>0.8818*10568</f>
        <v>9318.8624</v>
      </c>
      <c r="V176" s="8">
        <f t="shared" si="221"/>
        <v>6792.7</v>
      </c>
      <c r="W176" s="12">
        <f t="shared" si="253"/>
        <v>6792.7</v>
      </c>
      <c r="X176" s="8">
        <f t="shared" si="222"/>
        <v>6792.7</v>
      </c>
      <c r="Y176" s="12">
        <f t="shared" si="254"/>
        <v>6606</v>
      </c>
      <c r="Z176" s="12">
        <f t="shared" si="223"/>
        <v>6453.065</v>
      </c>
      <c r="AA176" s="12">
        <f t="shared" si="224"/>
        <v>6113.43</v>
      </c>
      <c r="AB176" s="14">
        <v>0</v>
      </c>
      <c r="AC176" s="14">
        <v>0</v>
      </c>
      <c r="AD176" s="8">
        <f t="shared" si="225"/>
        <v>6792.7</v>
      </c>
      <c r="AE176" s="8">
        <f t="shared" si="226"/>
        <v>6792.7</v>
      </c>
      <c r="AF176" s="14">
        <v>0</v>
      </c>
      <c r="AG176" s="7">
        <f t="shared" si="256"/>
        <v>9791.074999999999</v>
      </c>
      <c r="AH176" s="12">
        <f t="shared" si="248"/>
        <v>7471.97</v>
      </c>
      <c r="AI176" s="8">
        <f t="shared" si="249"/>
        <v>6792.7</v>
      </c>
      <c r="AJ176" s="14">
        <f t="shared" si="227"/>
        <v>9305.999</v>
      </c>
      <c r="AK176" s="8">
        <f t="shared" si="228"/>
        <v>6792.7</v>
      </c>
      <c r="AL176" s="8">
        <f t="shared" si="229"/>
        <v>6792.7</v>
      </c>
      <c r="AM176" s="8">
        <f t="shared" si="230"/>
        <v>7471.97</v>
      </c>
      <c r="AN176" s="8">
        <f t="shared" si="231"/>
        <v>6792.7</v>
      </c>
      <c r="AO176" s="8">
        <f t="shared" si="232"/>
        <v>3202.72</v>
      </c>
      <c r="AP176" s="8">
        <f t="shared" si="233"/>
        <v>6792.7</v>
      </c>
      <c r="AQ176" s="7">
        <f t="shared" si="234"/>
        <v>6993.624999999999</v>
      </c>
      <c r="AR176" s="17">
        <f t="shared" si="235"/>
        <v>3202.72</v>
      </c>
      <c r="AS176" s="8">
        <f t="shared" si="236"/>
        <v>6792.7</v>
      </c>
      <c r="AT176" s="12">
        <f t="shared" si="259"/>
        <v>8418</v>
      </c>
      <c r="AU176" s="8">
        <f t="shared" si="237"/>
        <v>3522.992</v>
      </c>
      <c r="AV176" s="8">
        <f t="shared" si="238"/>
        <v>6792.7</v>
      </c>
      <c r="AW176" s="7">
        <f t="shared" si="239"/>
        <v>6453.065</v>
      </c>
      <c r="AX176" s="8" t="str">
        <f t="shared" si="216"/>
        <v>5977.58 IPPS</v>
      </c>
      <c r="AY176" s="14">
        <v>0</v>
      </c>
      <c r="AZ176" s="14">
        <v>0</v>
      </c>
      <c r="BA176" s="14">
        <v>0</v>
      </c>
      <c r="BB176" s="12">
        <f t="shared" si="250"/>
        <v>6792.7</v>
      </c>
      <c r="BC176" s="12">
        <f t="shared" si="251"/>
        <v>7471.97</v>
      </c>
      <c r="BD176" s="12">
        <f t="shared" si="252"/>
        <v>6113.43</v>
      </c>
      <c r="BE176" s="14">
        <v>0</v>
      </c>
      <c r="BF176" s="14">
        <v>0</v>
      </c>
      <c r="BG176" s="14">
        <v>0</v>
      </c>
      <c r="BH176" s="8">
        <f t="shared" si="240"/>
        <v>8151.24</v>
      </c>
      <c r="BI176" s="8">
        <f t="shared" si="241"/>
        <v>6792.7</v>
      </c>
      <c r="BJ176" s="8">
        <f t="shared" si="242"/>
        <v>6453.065</v>
      </c>
      <c r="BK176" s="8">
        <f t="shared" si="243"/>
        <v>6792.7</v>
      </c>
      <c r="BL176" s="58">
        <f>0.8818*9755</f>
        <v>8601.959</v>
      </c>
      <c r="BM176" s="8">
        <f t="shared" si="244"/>
        <v>6792.7</v>
      </c>
      <c r="BN176" s="8">
        <f t="shared" si="245"/>
        <v>0</v>
      </c>
      <c r="BO176" s="8">
        <f t="shared" si="246"/>
        <v>11850</v>
      </c>
    </row>
    <row r="177" spans="1:67" ht="19.5" customHeight="1">
      <c r="A177" s="10">
        <f t="shared" si="214"/>
        <v>176</v>
      </c>
      <c r="B177" s="6">
        <v>280</v>
      </c>
      <c r="C177" s="11" t="s">
        <v>378</v>
      </c>
      <c r="D177" s="30" t="s">
        <v>256</v>
      </c>
      <c r="E177" s="11" t="s">
        <v>372</v>
      </c>
      <c r="F177" s="42">
        <v>59955.77428571428</v>
      </c>
      <c r="G177" s="11" t="s">
        <v>378</v>
      </c>
      <c r="H177" s="48">
        <v>0</v>
      </c>
      <c r="I177" s="6">
        <v>4</v>
      </c>
      <c r="J177" s="8">
        <f t="shared" si="217"/>
        <v>16792.698</v>
      </c>
      <c r="K177" s="52" t="s">
        <v>382</v>
      </c>
      <c r="L177" s="17">
        <v>12917.46</v>
      </c>
      <c r="M177" s="17">
        <v>6126.45</v>
      </c>
      <c r="N177" s="17">
        <f>1.6309*10804.5</f>
        <v>17621.05905</v>
      </c>
      <c r="O177" s="8">
        <f t="shared" si="218"/>
        <v>12917.46</v>
      </c>
      <c r="P177" s="8">
        <f t="shared" si="258"/>
        <v>16146.824999999999</v>
      </c>
      <c r="Q177" s="14">
        <v>0</v>
      </c>
      <c r="R177" s="14">
        <v>0</v>
      </c>
      <c r="S177" s="9">
        <f t="shared" si="219"/>
        <v>12917.46</v>
      </c>
      <c r="T177" s="21">
        <f t="shared" si="257"/>
        <v>15800</v>
      </c>
      <c r="U177" s="54">
        <f>1.6064*10568</f>
        <v>16976.4352</v>
      </c>
      <c r="V177" s="8">
        <f t="shared" si="221"/>
        <v>12917.46</v>
      </c>
      <c r="W177" s="12">
        <f t="shared" si="253"/>
        <v>12917.46</v>
      </c>
      <c r="X177" s="8">
        <f t="shared" si="222"/>
        <v>12917.46</v>
      </c>
      <c r="Y177" s="12">
        <f t="shared" si="254"/>
        <v>8808</v>
      </c>
      <c r="Z177" s="12">
        <f t="shared" si="223"/>
        <v>12271.586999999998</v>
      </c>
      <c r="AA177" s="12">
        <f t="shared" si="224"/>
        <v>11625.714</v>
      </c>
      <c r="AB177" s="14">
        <v>0</v>
      </c>
      <c r="AC177" s="14">
        <v>0</v>
      </c>
      <c r="AD177" s="8">
        <f t="shared" si="225"/>
        <v>12917.46</v>
      </c>
      <c r="AE177" s="8">
        <f t="shared" si="226"/>
        <v>12917.46</v>
      </c>
      <c r="AF177" s="14">
        <v>0</v>
      </c>
      <c r="AG177" s="7">
        <f t="shared" si="256"/>
        <v>41969.041999999994</v>
      </c>
      <c r="AH177" s="12">
        <f t="shared" si="248"/>
        <v>14209.206</v>
      </c>
      <c r="AI177" s="8">
        <f t="shared" si="249"/>
        <v>12917.46</v>
      </c>
      <c r="AJ177" s="14">
        <f t="shared" si="227"/>
        <v>17696.9202</v>
      </c>
      <c r="AK177" s="8">
        <f t="shared" si="228"/>
        <v>12917.46</v>
      </c>
      <c r="AL177" s="8">
        <f t="shared" si="229"/>
        <v>12917.46</v>
      </c>
      <c r="AM177" s="8">
        <f t="shared" si="230"/>
        <v>14209.206</v>
      </c>
      <c r="AN177" s="8">
        <f t="shared" si="231"/>
        <v>12917.46</v>
      </c>
      <c r="AO177" s="8">
        <f t="shared" si="232"/>
        <v>6126.45</v>
      </c>
      <c r="AP177" s="8">
        <f t="shared" si="233"/>
        <v>12917.46</v>
      </c>
      <c r="AQ177" s="7">
        <f t="shared" si="234"/>
        <v>29977.88714285714</v>
      </c>
      <c r="AR177" s="17">
        <f t="shared" si="235"/>
        <v>6126.45</v>
      </c>
      <c r="AS177" s="8">
        <f t="shared" si="236"/>
        <v>12917.46</v>
      </c>
      <c r="AT177" s="12">
        <f t="shared" si="259"/>
        <v>11224</v>
      </c>
      <c r="AU177" s="8">
        <f t="shared" si="237"/>
        <v>6739.095</v>
      </c>
      <c r="AV177" s="8">
        <f t="shared" si="238"/>
        <v>12917.46</v>
      </c>
      <c r="AW177" s="7">
        <f t="shared" si="239"/>
        <v>12271.586999999998</v>
      </c>
      <c r="AX177" s="8" t="str">
        <f t="shared" si="216"/>
        <v>11367.36 IPPS</v>
      </c>
      <c r="AY177" s="14">
        <v>0</v>
      </c>
      <c r="AZ177" s="14">
        <v>0</v>
      </c>
      <c r="BA177" s="14">
        <v>0</v>
      </c>
      <c r="BB177" s="12">
        <f t="shared" si="250"/>
        <v>12917.46</v>
      </c>
      <c r="BC177" s="12">
        <f t="shared" si="251"/>
        <v>14209.206</v>
      </c>
      <c r="BD177" s="12">
        <f t="shared" si="252"/>
        <v>11625.714</v>
      </c>
      <c r="BE177" s="14">
        <v>0</v>
      </c>
      <c r="BF177" s="14">
        <v>0</v>
      </c>
      <c r="BG177" s="14">
        <v>0</v>
      </c>
      <c r="BH177" s="8">
        <f t="shared" si="240"/>
        <v>15500.951999999997</v>
      </c>
      <c r="BI177" s="8">
        <f t="shared" si="241"/>
        <v>12917.46</v>
      </c>
      <c r="BJ177" s="8">
        <f t="shared" si="242"/>
        <v>12271.586999999998</v>
      </c>
      <c r="BK177" s="8">
        <f t="shared" si="243"/>
        <v>12917.46</v>
      </c>
      <c r="BL177" s="58">
        <f>1.6064*9755</f>
        <v>15670.432</v>
      </c>
      <c r="BM177" s="8">
        <f t="shared" si="244"/>
        <v>12917.46</v>
      </c>
      <c r="BN177" s="8">
        <f t="shared" si="245"/>
        <v>0</v>
      </c>
      <c r="BO177" s="8">
        <f t="shared" si="246"/>
        <v>41969.041999999994</v>
      </c>
    </row>
    <row r="178" spans="1:67" ht="19.5" customHeight="1">
      <c r="A178" s="10">
        <f t="shared" si="214"/>
        <v>177</v>
      </c>
      <c r="B178" s="6">
        <v>377</v>
      </c>
      <c r="C178" s="11" t="s">
        <v>378</v>
      </c>
      <c r="D178" s="30" t="s">
        <v>260</v>
      </c>
      <c r="E178" s="11" t="s">
        <v>372</v>
      </c>
      <c r="F178" s="42">
        <v>54109.24833333333</v>
      </c>
      <c r="G178" s="11" t="s">
        <v>378</v>
      </c>
      <c r="H178" s="48">
        <v>0</v>
      </c>
      <c r="I178" s="6">
        <v>4</v>
      </c>
      <c r="J178" s="8">
        <f t="shared" si="217"/>
        <v>18552.43</v>
      </c>
      <c r="K178" s="52" t="s">
        <v>382</v>
      </c>
      <c r="L178" s="17">
        <v>14271.1</v>
      </c>
      <c r="M178" s="17">
        <v>9495.66</v>
      </c>
      <c r="N178" s="17">
        <f>1.7699*10804.5</f>
        <v>19122.88455</v>
      </c>
      <c r="O178" s="8">
        <f t="shared" si="218"/>
        <v>14271.1</v>
      </c>
      <c r="P178" s="8">
        <f t="shared" si="258"/>
        <v>17838.875</v>
      </c>
      <c r="Q178" s="14">
        <v>0</v>
      </c>
      <c r="R178" s="14">
        <v>0</v>
      </c>
      <c r="S178" s="9">
        <f t="shared" si="219"/>
        <v>14271.1</v>
      </c>
      <c r="T178" s="21">
        <f t="shared" si="257"/>
        <v>15800</v>
      </c>
      <c r="U178" s="54">
        <f>1.778*10568</f>
        <v>18789.904</v>
      </c>
      <c r="V178" s="8">
        <f t="shared" si="221"/>
        <v>14271.1</v>
      </c>
      <c r="W178" s="12">
        <f t="shared" si="253"/>
        <v>14271.1</v>
      </c>
      <c r="X178" s="8">
        <f t="shared" si="222"/>
        <v>14271.1</v>
      </c>
      <c r="Y178" s="12">
        <f t="shared" si="254"/>
        <v>8808</v>
      </c>
      <c r="Z178" s="12">
        <f t="shared" si="223"/>
        <v>13557.545</v>
      </c>
      <c r="AA178" s="12">
        <f t="shared" si="224"/>
        <v>12843.99</v>
      </c>
      <c r="AB178" s="14">
        <v>0</v>
      </c>
      <c r="AC178" s="14">
        <v>0</v>
      </c>
      <c r="AD178" s="8">
        <f t="shared" si="225"/>
        <v>14271.1</v>
      </c>
      <c r="AE178" s="8">
        <f t="shared" si="226"/>
        <v>14271.1</v>
      </c>
      <c r="AF178" s="14">
        <v>0</v>
      </c>
      <c r="AG178" s="7">
        <f t="shared" si="256"/>
        <v>37876.47383333333</v>
      </c>
      <c r="AH178" s="12">
        <f t="shared" si="248"/>
        <v>15698.210000000001</v>
      </c>
      <c r="AI178" s="8">
        <f t="shared" si="249"/>
        <v>14271.1</v>
      </c>
      <c r="AJ178" s="14">
        <f t="shared" si="227"/>
        <v>19551.407000000003</v>
      </c>
      <c r="AK178" s="8">
        <f t="shared" si="228"/>
        <v>14271.1</v>
      </c>
      <c r="AL178" s="8">
        <f t="shared" si="229"/>
        <v>14271.1</v>
      </c>
      <c r="AM178" s="8">
        <f t="shared" si="230"/>
        <v>15698.210000000001</v>
      </c>
      <c r="AN178" s="8">
        <f t="shared" si="231"/>
        <v>14271.1</v>
      </c>
      <c r="AO178" s="8">
        <f t="shared" si="232"/>
        <v>9495.66</v>
      </c>
      <c r="AP178" s="8">
        <f t="shared" si="233"/>
        <v>14271.1</v>
      </c>
      <c r="AQ178" s="7">
        <f t="shared" si="234"/>
        <v>27054.624166666665</v>
      </c>
      <c r="AR178" s="17">
        <f t="shared" si="235"/>
        <v>9495.66</v>
      </c>
      <c r="AS178" s="8">
        <f t="shared" si="236"/>
        <v>14271.1</v>
      </c>
      <c r="AT178" s="12">
        <f t="shared" si="259"/>
        <v>11224</v>
      </c>
      <c r="AU178" s="8">
        <f t="shared" si="237"/>
        <v>10445.226</v>
      </c>
      <c r="AV178" s="8">
        <f t="shared" si="238"/>
        <v>14271.1</v>
      </c>
      <c r="AW178" s="7">
        <f t="shared" si="239"/>
        <v>13557.545</v>
      </c>
      <c r="AX178" s="8" t="str">
        <f aca="true" t="shared" si="260" ref="AX178:AX191">CONCATENATE(ROUND(L178*0.88,2)," ",K178)</f>
        <v>12558.57 IPPS</v>
      </c>
      <c r="AY178" s="14">
        <v>0</v>
      </c>
      <c r="AZ178" s="14">
        <v>0</v>
      </c>
      <c r="BA178" s="14">
        <v>0</v>
      </c>
      <c r="BB178" s="12">
        <f t="shared" si="250"/>
        <v>14271.1</v>
      </c>
      <c r="BC178" s="12">
        <f t="shared" si="251"/>
        <v>15698.210000000001</v>
      </c>
      <c r="BD178" s="12">
        <f t="shared" si="252"/>
        <v>12843.99</v>
      </c>
      <c r="BE178" s="14">
        <v>0</v>
      </c>
      <c r="BF178" s="14">
        <v>0</v>
      </c>
      <c r="BG178" s="14">
        <v>0</v>
      </c>
      <c r="BH178" s="8">
        <f t="shared" si="240"/>
        <v>17125.32</v>
      </c>
      <c r="BI178" s="8">
        <f t="shared" si="241"/>
        <v>14271.1</v>
      </c>
      <c r="BJ178" s="8">
        <f t="shared" si="242"/>
        <v>13557.545</v>
      </c>
      <c r="BK178" s="8">
        <f t="shared" si="243"/>
        <v>14271.1</v>
      </c>
      <c r="BL178" s="58">
        <f>1.778*9755</f>
        <v>17344.39</v>
      </c>
      <c r="BM178" s="8">
        <f t="shared" si="244"/>
        <v>14271.1</v>
      </c>
      <c r="BN178" s="8">
        <f t="shared" si="245"/>
        <v>0</v>
      </c>
      <c r="BO178" s="8">
        <f t="shared" si="246"/>
        <v>37876.47383333333</v>
      </c>
    </row>
    <row r="179" spans="1:67" ht="19.5" customHeight="1">
      <c r="A179" s="10">
        <f t="shared" si="214"/>
        <v>178</v>
      </c>
      <c r="B179" s="6">
        <v>100</v>
      </c>
      <c r="C179" s="11" t="s">
        <v>378</v>
      </c>
      <c r="D179" s="30" t="s">
        <v>261</v>
      </c>
      <c r="E179" s="11" t="s">
        <v>372</v>
      </c>
      <c r="F179" s="42">
        <v>31742.291666666668</v>
      </c>
      <c r="G179" s="11" t="s">
        <v>378</v>
      </c>
      <c r="H179" s="48">
        <v>0</v>
      </c>
      <c r="I179" s="6">
        <v>4</v>
      </c>
      <c r="J179" s="8">
        <f t="shared" si="217"/>
        <v>19313.593</v>
      </c>
      <c r="K179" s="52" t="s">
        <v>382</v>
      </c>
      <c r="L179" s="17">
        <v>14856.61</v>
      </c>
      <c r="M179" s="17">
        <v>9495.66</v>
      </c>
      <c r="N179" s="17">
        <f>1.8202*10804.5</f>
        <v>19666.3509</v>
      </c>
      <c r="O179" s="8">
        <f t="shared" si="218"/>
        <v>14856.61</v>
      </c>
      <c r="P179" s="8">
        <f t="shared" si="258"/>
        <v>18570.7625</v>
      </c>
      <c r="Q179" s="14">
        <v>0</v>
      </c>
      <c r="R179" s="14">
        <v>0</v>
      </c>
      <c r="S179" s="9">
        <f t="shared" si="219"/>
        <v>14856.61</v>
      </c>
      <c r="T179" s="21">
        <f t="shared" si="257"/>
        <v>15800</v>
      </c>
      <c r="U179" s="54">
        <f>1.921*10568</f>
        <v>20301.128</v>
      </c>
      <c r="V179" s="8">
        <f t="shared" si="221"/>
        <v>14856.61</v>
      </c>
      <c r="W179" s="12">
        <f t="shared" si="253"/>
        <v>14856.61</v>
      </c>
      <c r="X179" s="8">
        <f t="shared" si="222"/>
        <v>14856.61</v>
      </c>
      <c r="Y179" s="12">
        <f t="shared" si="254"/>
        <v>8808</v>
      </c>
      <c r="Z179" s="12">
        <f t="shared" si="223"/>
        <v>14113.7795</v>
      </c>
      <c r="AA179" s="12">
        <f t="shared" si="224"/>
        <v>13370.949</v>
      </c>
      <c r="AB179" s="14">
        <v>0</v>
      </c>
      <c r="AC179" s="14">
        <v>0</v>
      </c>
      <c r="AD179" s="8">
        <f t="shared" si="225"/>
        <v>14856.61</v>
      </c>
      <c r="AE179" s="8">
        <f t="shared" si="226"/>
        <v>14856.61</v>
      </c>
      <c r="AF179" s="14">
        <v>0</v>
      </c>
      <c r="AG179" s="7">
        <f t="shared" si="256"/>
        <v>22219.604166666668</v>
      </c>
      <c r="AH179" s="12">
        <f t="shared" si="248"/>
        <v>16342.271000000002</v>
      </c>
      <c r="AI179" s="8">
        <f t="shared" si="249"/>
        <v>14856.61</v>
      </c>
      <c r="AJ179" s="14">
        <f t="shared" si="227"/>
        <v>20353.5557</v>
      </c>
      <c r="AK179" s="8">
        <f t="shared" si="228"/>
        <v>14856.61</v>
      </c>
      <c r="AL179" s="8">
        <f t="shared" si="229"/>
        <v>14856.61</v>
      </c>
      <c r="AM179" s="8">
        <f t="shared" si="230"/>
        <v>16342.271000000002</v>
      </c>
      <c r="AN179" s="8">
        <f t="shared" si="231"/>
        <v>14856.61</v>
      </c>
      <c r="AO179" s="8">
        <f t="shared" si="232"/>
        <v>9495.66</v>
      </c>
      <c r="AP179" s="8">
        <f t="shared" si="233"/>
        <v>14856.61</v>
      </c>
      <c r="AQ179" s="7">
        <f t="shared" si="234"/>
        <v>15871.145833333334</v>
      </c>
      <c r="AR179" s="17">
        <f t="shared" si="235"/>
        <v>9495.66</v>
      </c>
      <c r="AS179" s="8">
        <f t="shared" si="236"/>
        <v>14856.61</v>
      </c>
      <c r="AT179" s="12">
        <f t="shared" si="259"/>
        <v>11224</v>
      </c>
      <c r="AU179" s="8">
        <f t="shared" si="237"/>
        <v>10445.226</v>
      </c>
      <c r="AV179" s="8">
        <f t="shared" si="238"/>
        <v>14856.61</v>
      </c>
      <c r="AW179" s="7">
        <f t="shared" si="239"/>
        <v>14113.7795</v>
      </c>
      <c r="AX179" s="8" t="str">
        <f t="shared" si="260"/>
        <v>13073.82 IPPS</v>
      </c>
      <c r="AY179" s="14">
        <v>0</v>
      </c>
      <c r="AZ179" s="14">
        <v>0</v>
      </c>
      <c r="BA179" s="14">
        <v>0</v>
      </c>
      <c r="BB179" s="12">
        <f t="shared" si="250"/>
        <v>14856.61</v>
      </c>
      <c r="BC179" s="12">
        <f t="shared" si="251"/>
        <v>16342.271000000002</v>
      </c>
      <c r="BD179" s="12">
        <f t="shared" si="252"/>
        <v>13370.949</v>
      </c>
      <c r="BE179" s="14">
        <v>0</v>
      </c>
      <c r="BF179" s="14">
        <v>0</v>
      </c>
      <c r="BG179" s="14">
        <v>0</v>
      </c>
      <c r="BH179" s="8">
        <f t="shared" si="240"/>
        <v>17827.932</v>
      </c>
      <c r="BI179" s="8">
        <f t="shared" si="241"/>
        <v>14856.61</v>
      </c>
      <c r="BJ179" s="8">
        <f t="shared" si="242"/>
        <v>14113.7795</v>
      </c>
      <c r="BK179" s="8">
        <f t="shared" si="243"/>
        <v>14856.61</v>
      </c>
      <c r="BL179" s="58">
        <f>1.921*9755</f>
        <v>18739.355</v>
      </c>
      <c r="BM179" s="8">
        <f t="shared" si="244"/>
        <v>14856.61</v>
      </c>
      <c r="BN179" s="8">
        <f t="shared" si="245"/>
        <v>0</v>
      </c>
      <c r="BO179" s="8">
        <f t="shared" si="246"/>
        <v>22219.604166666668</v>
      </c>
    </row>
    <row r="180" spans="1:67" ht="19.5" customHeight="1">
      <c r="A180" s="10">
        <f t="shared" si="214"/>
        <v>179</v>
      </c>
      <c r="B180" s="6">
        <v>689</v>
      </c>
      <c r="C180" s="11" t="s">
        <v>378</v>
      </c>
      <c r="D180" s="30" t="s">
        <v>262</v>
      </c>
      <c r="E180" s="11" t="s">
        <v>372</v>
      </c>
      <c r="F180" s="43">
        <v>20747.825</v>
      </c>
      <c r="G180" s="11" t="s">
        <v>378</v>
      </c>
      <c r="H180" s="48">
        <v>0</v>
      </c>
      <c r="I180" s="6">
        <v>4</v>
      </c>
      <c r="J180" s="8">
        <f t="shared" si="217"/>
        <v>11546.028</v>
      </c>
      <c r="K180" s="52" t="s">
        <v>382</v>
      </c>
      <c r="L180" s="17">
        <v>8881.56</v>
      </c>
      <c r="M180" s="17">
        <v>10259.66</v>
      </c>
      <c r="N180" s="17">
        <f>1.1186*10804.5</f>
        <v>12085.913700000001</v>
      </c>
      <c r="O180" s="8">
        <f t="shared" si="218"/>
        <v>8881.56</v>
      </c>
      <c r="P180" s="8">
        <f t="shared" si="258"/>
        <v>11101.949999999999</v>
      </c>
      <c r="Q180" s="14">
        <v>0</v>
      </c>
      <c r="R180" s="14">
        <v>0</v>
      </c>
      <c r="S180" s="9">
        <f t="shared" si="219"/>
        <v>8881.56</v>
      </c>
      <c r="T180" s="21">
        <f t="shared" si="257"/>
        <v>15800</v>
      </c>
      <c r="U180" s="54">
        <f>1.1471*10568</f>
        <v>12122.5528</v>
      </c>
      <c r="V180" s="8">
        <f t="shared" si="221"/>
        <v>8881.56</v>
      </c>
      <c r="W180" s="12">
        <f t="shared" si="253"/>
        <v>8881.56</v>
      </c>
      <c r="X180" s="8">
        <f t="shared" si="222"/>
        <v>8881.56</v>
      </c>
      <c r="Y180" s="12">
        <f t="shared" si="254"/>
        <v>8808</v>
      </c>
      <c r="Z180" s="12">
        <f t="shared" si="223"/>
        <v>8437.482</v>
      </c>
      <c r="AA180" s="12">
        <f t="shared" si="224"/>
        <v>7993.4039999999995</v>
      </c>
      <c r="AB180" s="14">
        <v>0</v>
      </c>
      <c r="AC180" s="14">
        <v>0</v>
      </c>
      <c r="AD180" s="8">
        <f t="shared" si="225"/>
        <v>8881.56</v>
      </c>
      <c r="AE180" s="8">
        <f t="shared" si="226"/>
        <v>8881.56</v>
      </c>
      <c r="AF180" s="14">
        <v>0</v>
      </c>
      <c r="AG180" s="7">
        <f t="shared" si="256"/>
        <v>14523.477499999999</v>
      </c>
      <c r="AH180" s="12">
        <f t="shared" si="248"/>
        <v>9769.716</v>
      </c>
      <c r="AI180" s="8">
        <f t="shared" si="249"/>
        <v>8881.56</v>
      </c>
      <c r="AJ180" s="14">
        <f t="shared" si="227"/>
        <v>12167.7372</v>
      </c>
      <c r="AK180" s="8">
        <f t="shared" si="228"/>
        <v>8881.56</v>
      </c>
      <c r="AL180" s="8">
        <f t="shared" si="229"/>
        <v>8881.56</v>
      </c>
      <c r="AM180" s="8">
        <f t="shared" si="230"/>
        <v>9769.716</v>
      </c>
      <c r="AN180" s="8">
        <f t="shared" si="231"/>
        <v>8881.56</v>
      </c>
      <c r="AO180" s="8">
        <f t="shared" si="232"/>
        <v>10259.66</v>
      </c>
      <c r="AP180" s="8">
        <f t="shared" si="233"/>
        <v>8881.56</v>
      </c>
      <c r="AQ180" s="7">
        <f t="shared" si="234"/>
        <v>10373.9125</v>
      </c>
      <c r="AR180" s="17">
        <f t="shared" si="235"/>
        <v>10259.66</v>
      </c>
      <c r="AS180" s="8">
        <f t="shared" si="236"/>
        <v>8881.56</v>
      </c>
      <c r="AT180" s="12">
        <f t="shared" si="259"/>
        <v>11224</v>
      </c>
      <c r="AU180" s="8">
        <f t="shared" si="237"/>
        <v>11285.626</v>
      </c>
      <c r="AV180" s="8">
        <f t="shared" si="238"/>
        <v>8881.56</v>
      </c>
      <c r="AW180" s="7">
        <f t="shared" si="239"/>
        <v>8437.482</v>
      </c>
      <c r="AX180" s="8" t="str">
        <f t="shared" si="260"/>
        <v>7815.77 IPPS</v>
      </c>
      <c r="AY180" s="14">
        <v>0</v>
      </c>
      <c r="AZ180" s="14">
        <v>0</v>
      </c>
      <c r="BA180" s="14">
        <v>0</v>
      </c>
      <c r="BB180" s="12">
        <f t="shared" si="250"/>
        <v>8881.56</v>
      </c>
      <c r="BC180" s="12">
        <f t="shared" si="251"/>
        <v>9769.716</v>
      </c>
      <c r="BD180" s="12">
        <f t="shared" si="252"/>
        <v>7993.4039999999995</v>
      </c>
      <c r="BE180" s="14">
        <v>0</v>
      </c>
      <c r="BF180" s="14">
        <v>0</v>
      </c>
      <c r="BG180" s="14">
        <v>0</v>
      </c>
      <c r="BH180" s="8">
        <f t="shared" si="240"/>
        <v>10657.872</v>
      </c>
      <c r="BI180" s="8">
        <f t="shared" si="241"/>
        <v>8881.56</v>
      </c>
      <c r="BJ180" s="8">
        <f t="shared" si="242"/>
        <v>8437.482</v>
      </c>
      <c r="BK180" s="8">
        <f t="shared" si="243"/>
        <v>8881.56</v>
      </c>
      <c r="BL180" s="58">
        <f>1.1471*9755</f>
        <v>11189.9605</v>
      </c>
      <c r="BM180" s="8">
        <f t="shared" si="244"/>
        <v>8881.56</v>
      </c>
      <c r="BN180" s="8">
        <f t="shared" si="245"/>
        <v>0</v>
      </c>
      <c r="BO180" s="8">
        <f t="shared" si="246"/>
        <v>15800</v>
      </c>
    </row>
    <row r="181" spans="1:67" ht="19.5" customHeight="1">
      <c r="A181" s="10">
        <f t="shared" si="214"/>
        <v>180</v>
      </c>
      <c r="B181" s="6">
        <v>194</v>
      </c>
      <c r="C181" s="11" t="s">
        <v>378</v>
      </c>
      <c r="D181" s="30" t="s">
        <v>263</v>
      </c>
      <c r="E181" s="11" t="s">
        <v>372</v>
      </c>
      <c r="F181" s="42">
        <v>19960.375</v>
      </c>
      <c r="G181" s="11" t="s">
        <v>378</v>
      </c>
      <c r="H181" s="48">
        <v>0</v>
      </c>
      <c r="I181" s="6">
        <v>3</v>
      </c>
      <c r="J181" s="8">
        <f t="shared" si="217"/>
        <v>9015.955</v>
      </c>
      <c r="K181" s="52" t="s">
        <v>382</v>
      </c>
      <c r="L181" s="17">
        <v>6935.35</v>
      </c>
      <c r="M181" s="17">
        <v>10259.66</v>
      </c>
      <c r="N181" s="17">
        <f>0.8886*10804.5</f>
        <v>9600.8787</v>
      </c>
      <c r="O181" s="8">
        <f t="shared" si="218"/>
        <v>6935.35</v>
      </c>
      <c r="P181" s="8">
        <f t="shared" si="258"/>
        <v>8669.1875</v>
      </c>
      <c r="Q181" s="14">
        <v>0</v>
      </c>
      <c r="R181" s="14">
        <v>0</v>
      </c>
      <c r="S181" s="9">
        <f t="shared" si="219"/>
        <v>6935.35</v>
      </c>
      <c r="T181" s="21">
        <f t="shared" si="257"/>
        <v>11850</v>
      </c>
      <c r="U181" s="54">
        <f>0.8402*10568</f>
        <v>8879.2336</v>
      </c>
      <c r="V181" s="8">
        <f t="shared" si="221"/>
        <v>6935.35</v>
      </c>
      <c r="W181" s="12">
        <f t="shared" si="253"/>
        <v>6935.35</v>
      </c>
      <c r="X181" s="8">
        <f t="shared" si="222"/>
        <v>6935.35</v>
      </c>
      <c r="Y181" s="12">
        <f t="shared" si="254"/>
        <v>6606</v>
      </c>
      <c r="Z181" s="12">
        <f t="shared" si="223"/>
        <v>6588.5825</v>
      </c>
      <c r="AA181" s="12">
        <f t="shared" si="224"/>
        <v>6241.8150000000005</v>
      </c>
      <c r="AB181" s="14">
        <v>0</v>
      </c>
      <c r="AC181" s="14">
        <v>0</v>
      </c>
      <c r="AD181" s="8">
        <f t="shared" si="225"/>
        <v>6935.35</v>
      </c>
      <c r="AE181" s="8">
        <f t="shared" si="226"/>
        <v>6935.35</v>
      </c>
      <c r="AF181" s="14">
        <v>0</v>
      </c>
      <c r="AG181" s="7">
        <f t="shared" si="256"/>
        <v>13972.262499999999</v>
      </c>
      <c r="AH181" s="12">
        <f t="shared" si="248"/>
        <v>7628.885000000001</v>
      </c>
      <c r="AI181" s="8">
        <f t="shared" si="249"/>
        <v>6935.35</v>
      </c>
      <c r="AJ181" s="14">
        <f t="shared" si="227"/>
        <v>9501.429500000002</v>
      </c>
      <c r="AK181" s="8">
        <f t="shared" si="228"/>
        <v>6935.35</v>
      </c>
      <c r="AL181" s="8">
        <f t="shared" si="229"/>
        <v>6935.35</v>
      </c>
      <c r="AM181" s="8">
        <f t="shared" si="230"/>
        <v>7628.885000000001</v>
      </c>
      <c r="AN181" s="8">
        <f t="shared" si="231"/>
        <v>6935.35</v>
      </c>
      <c r="AO181" s="8">
        <f t="shared" si="232"/>
        <v>10259.66</v>
      </c>
      <c r="AP181" s="8">
        <f t="shared" si="233"/>
        <v>6935.35</v>
      </c>
      <c r="AQ181" s="7">
        <f t="shared" si="234"/>
        <v>9980.1875</v>
      </c>
      <c r="AR181" s="17">
        <f t="shared" si="235"/>
        <v>10259.66</v>
      </c>
      <c r="AS181" s="8">
        <f t="shared" si="236"/>
        <v>6935.35</v>
      </c>
      <c r="AT181" s="12">
        <f t="shared" si="259"/>
        <v>8418</v>
      </c>
      <c r="AU181" s="8">
        <f t="shared" si="237"/>
        <v>11285.626</v>
      </c>
      <c r="AV181" s="8">
        <f t="shared" si="238"/>
        <v>6935.35</v>
      </c>
      <c r="AW181" s="7">
        <f t="shared" si="239"/>
        <v>6588.5825</v>
      </c>
      <c r="AX181" s="8" t="str">
        <f t="shared" si="260"/>
        <v>6103.11 IPPS</v>
      </c>
      <c r="AY181" s="14">
        <v>0</v>
      </c>
      <c r="AZ181" s="14">
        <v>0</v>
      </c>
      <c r="BA181" s="14">
        <v>0</v>
      </c>
      <c r="BB181" s="12">
        <f t="shared" si="250"/>
        <v>6935.35</v>
      </c>
      <c r="BC181" s="12">
        <f t="shared" si="251"/>
        <v>7628.885000000001</v>
      </c>
      <c r="BD181" s="12">
        <f t="shared" si="252"/>
        <v>6241.8150000000005</v>
      </c>
      <c r="BE181" s="14">
        <v>0</v>
      </c>
      <c r="BF181" s="14">
        <v>0</v>
      </c>
      <c r="BG181" s="14">
        <v>0</v>
      </c>
      <c r="BH181" s="8">
        <f t="shared" si="240"/>
        <v>8322.42</v>
      </c>
      <c r="BI181" s="8">
        <f t="shared" si="241"/>
        <v>6935.35</v>
      </c>
      <c r="BJ181" s="8">
        <f t="shared" si="242"/>
        <v>6588.5825</v>
      </c>
      <c r="BK181" s="8">
        <f t="shared" si="243"/>
        <v>6935.35</v>
      </c>
      <c r="BL181" s="58">
        <f>0.8402*9755</f>
        <v>8196.151</v>
      </c>
      <c r="BM181" s="8">
        <f t="shared" si="244"/>
        <v>6935.35</v>
      </c>
      <c r="BN181" s="8">
        <f t="shared" si="245"/>
        <v>0</v>
      </c>
      <c r="BO181" s="8">
        <f t="shared" si="246"/>
        <v>13972.262499999999</v>
      </c>
    </row>
    <row r="182" spans="1:67" ht="19.5" customHeight="1">
      <c r="A182" s="10">
        <f t="shared" si="214"/>
        <v>181</v>
      </c>
      <c r="B182" s="6">
        <v>552</v>
      </c>
      <c r="C182" s="11" t="s">
        <v>378</v>
      </c>
      <c r="D182" s="30" t="s">
        <v>264</v>
      </c>
      <c r="E182" s="11" t="s">
        <v>372</v>
      </c>
      <c r="F182" s="42">
        <v>10508.374999999998</v>
      </c>
      <c r="G182" s="11" t="s">
        <v>378</v>
      </c>
      <c r="H182" s="48">
        <v>0</v>
      </c>
      <c r="I182" s="6">
        <v>3</v>
      </c>
      <c r="J182" s="8">
        <f t="shared" si="217"/>
        <v>9820.941</v>
      </c>
      <c r="K182" s="52" t="s">
        <v>382</v>
      </c>
      <c r="L182" s="17">
        <v>7554.57</v>
      </c>
      <c r="M182" s="17">
        <v>10259.66</v>
      </c>
      <c r="N182" s="17">
        <f>0.9119*10804.5</f>
        <v>9852.62355</v>
      </c>
      <c r="O182" s="8">
        <f t="shared" si="218"/>
        <v>7554.57</v>
      </c>
      <c r="P182" s="8">
        <f t="shared" si="258"/>
        <v>9443.2125</v>
      </c>
      <c r="Q182" s="14">
        <v>0</v>
      </c>
      <c r="R182" s="14">
        <v>0</v>
      </c>
      <c r="S182" s="9">
        <f t="shared" si="219"/>
        <v>7554.57</v>
      </c>
      <c r="T182" s="21">
        <v>20561</v>
      </c>
      <c r="U182" s="54">
        <f>0.9605*10568</f>
        <v>10150.564</v>
      </c>
      <c r="V182" s="8">
        <f t="shared" si="221"/>
        <v>7554.57</v>
      </c>
      <c r="W182" s="12">
        <f t="shared" si="253"/>
        <v>7554.57</v>
      </c>
      <c r="X182" s="8">
        <f t="shared" si="222"/>
        <v>7554.57</v>
      </c>
      <c r="Y182" s="12">
        <f t="shared" si="254"/>
        <v>6606</v>
      </c>
      <c r="Z182" s="12">
        <f t="shared" si="223"/>
        <v>7176.8414999999995</v>
      </c>
      <c r="AA182" s="12">
        <f t="shared" si="224"/>
        <v>6799.113</v>
      </c>
      <c r="AB182" s="14">
        <v>0</v>
      </c>
      <c r="AC182" s="14">
        <v>0</v>
      </c>
      <c r="AD182" s="8">
        <f t="shared" si="225"/>
        <v>7554.57</v>
      </c>
      <c r="AE182" s="8">
        <f t="shared" si="226"/>
        <v>7554.57</v>
      </c>
      <c r="AF182" s="14">
        <v>0</v>
      </c>
      <c r="AG182" s="7">
        <f t="shared" si="256"/>
        <v>7355.862499999998</v>
      </c>
      <c r="AH182" s="12">
        <f t="shared" si="248"/>
        <v>8310.027</v>
      </c>
      <c r="AI182" s="8">
        <f t="shared" si="249"/>
        <v>7554.57</v>
      </c>
      <c r="AJ182" s="14">
        <f t="shared" si="227"/>
        <v>10349.760900000001</v>
      </c>
      <c r="AK182" s="8">
        <f t="shared" si="228"/>
        <v>7554.57</v>
      </c>
      <c r="AL182" s="8">
        <f t="shared" si="229"/>
        <v>7554.57</v>
      </c>
      <c r="AM182" s="8">
        <f t="shared" si="230"/>
        <v>8310.027</v>
      </c>
      <c r="AN182" s="8">
        <f t="shared" si="231"/>
        <v>7554.57</v>
      </c>
      <c r="AO182" s="8">
        <f t="shared" si="232"/>
        <v>10259.66</v>
      </c>
      <c r="AP182" s="8">
        <f t="shared" si="233"/>
        <v>7554.57</v>
      </c>
      <c r="AQ182" s="7">
        <f t="shared" si="234"/>
        <v>5254.187499999999</v>
      </c>
      <c r="AR182" s="17">
        <f t="shared" si="235"/>
        <v>10259.66</v>
      </c>
      <c r="AS182" s="8">
        <f t="shared" si="236"/>
        <v>7554.57</v>
      </c>
      <c r="AT182" s="12">
        <f t="shared" si="259"/>
        <v>8418</v>
      </c>
      <c r="AU182" s="8">
        <f t="shared" si="237"/>
        <v>11285.626</v>
      </c>
      <c r="AV182" s="8">
        <f t="shared" si="238"/>
        <v>7554.57</v>
      </c>
      <c r="AW182" s="7">
        <f t="shared" si="239"/>
        <v>7176.8414999999995</v>
      </c>
      <c r="AX182" s="8" t="str">
        <f t="shared" si="260"/>
        <v>6648.02 IPPS</v>
      </c>
      <c r="AY182" s="14">
        <v>0</v>
      </c>
      <c r="AZ182" s="14">
        <v>0</v>
      </c>
      <c r="BA182" s="14">
        <v>0</v>
      </c>
      <c r="BB182" s="12">
        <f t="shared" si="250"/>
        <v>7554.57</v>
      </c>
      <c r="BC182" s="12">
        <f t="shared" si="251"/>
        <v>8310.027</v>
      </c>
      <c r="BD182" s="12">
        <f t="shared" si="252"/>
        <v>6799.113</v>
      </c>
      <c r="BE182" s="14">
        <v>0</v>
      </c>
      <c r="BF182" s="14">
        <v>0</v>
      </c>
      <c r="BG182" s="14">
        <v>0</v>
      </c>
      <c r="BH182" s="8">
        <f t="shared" si="240"/>
        <v>9065.483999999999</v>
      </c>
      <c r="BI182" s="8">
        <f t="shared" si="241"/>
        <v>7554.57</v>
      </c>
      <c r="BJ182" s="8">
        <f t="shared" si="242"/>
        <v>7176.8414999999995</v>
      </c>
      <c r="BK182" s="8">
        <f t="shared" si="243"/>
        <v>7554.57</v>
      </c>
      <c r="BL182" s="58">
        <f>0.9605*9755</f>
        <v>9369.6775</v>
      </c>
      <c r="BM182" s="8">
        <f t="shared" si="244"/>
        <v>7554.57</v>
      </c>
      <c r="BN182" s="8">
        <f t="shared" si="245"/>
        <v>0</v>
      </c>
      <c r="BO182" s="8">
        <f t="shared" si="246"/>
        <v>20561</v>
      </c>
    </row>
    <row r="183" spans="1:67" ht="19.5" customHeight="1">
      <c r="A183" s="10">
        <f t="shared" si="214"/>
        <v>182</v>
      </c>
      <c r="B183" s="6">
        <v>812</v>
      </c>
      <c r="C183" s="11" t="s">
        <v>378</v>
      </c>
      <c r="D183" s="30" t="s">
        <v>265</v>
      </c>
      <c r="E183" s="11" t="s">
        <v>372</v>
      </c>
      <c r="F183" s="42">
        <v>18923.899999999998</v>
      </c>
      <c r="G183" s="11" t="s">
        <v>378</v>
      </c>
      <c r="H183" s="48">
        <v>0</v>
      </c>
      <c r="I183" s="6">
        <v>3</v>
      </c>
      <c r="J183" s="8">
        <f t="shared" si="217"/>
        <v>9186.138</v>
      </c>
      <c r="K183" s="52" t="s">
        <v>382</v>
      </c>
      <c r="L183" s="17">
        <v>7066.26</v>
      </c>
      <c r="M183" s="17">
        <v>10259.66</v>
      </c>
      <c r="N183" s="17">
        <f>0.8707*10804.5</f>
        <v>9407.47815</v>
      </c>
      <c r="O183" s="8">
        <f t="shared" si="218"/>
        <v>7066.26</v>
      </c>
      <c r="P183" s="8">
        <f t="shared" si="258"/>
        <v>8832.825</v>
      </c>
      <c r="Q183" s="14">
        <v>0</v>
      </c>
      <c r="R183" s="14">
        <v>0</v>
      </c>
      <c r="S183" s="9">
        <f t="shared" si="219"/>
        <v>7066.26</v>
      </c>
      <c r="T183" s="21">
        <f aca="true" t="shared" si="261" ref="T183:T191">3950*I183</f>
        <v>11850</v>
      </c>
      <c r="U183" s="54">
        <f>0.898*10568</f>
        <v>9490.064</v>
      </c>
      <c r="V183" s="8">
        <f t="shared" si="221"/>
        <v>7066.26</v>
      </c>
      <c r="W183" s="12">
        <f t="shared" si="253"/>
        <v>7066.26</v>
      </c>
      <c r="X183" s="8">
        <f t="shared" si="222"/>
        <v>7066.26</v>
      </c>
      <c r="Y183" s="12">
        <f t="shared" si="254"/>
        <v>6606</v>
      </c>
      <c r="Z183" s="12">
        <f t="shared" si="223"/>
        <v>6712.947</v>
      </c>
      <c r="AA183" s="12">
        <f t="shared" si="224"/>
        <v>6359.634</v>
      </c>
      <c r="AB183" s="14">
        <v>0</v>
      </c>
      <c r="AC183" s="14">
        <v>0</v>
      </c>
      <c r="AD183" s="8">
        <f t="shared" si="225"/>
        <v>7066.26</v>
      </c>
      <c r="AE183" s="8">
        <f t="shared" si="226"/>
        <v>7066.26</v>
      </c>
      <c r="AF183" s="14">
        <v>0</v>
      </c>
      <c r="AG183" s="7">
        <f t="shared" si="256"/>
        <v>13246.729999999998</v>
      </c>
      <c r="AH183" s="12">
        <f t="shared" si="248"/>
        <v>7772.886</v>
      </c>
      <c r="AI183" s="8">
        <f t="shared" si="249"/>
        <v>7066.26</v>
      </c>
      <c r="AJ183" s="14">
        <f t="shared" si="227"/>
        <v>9680.7762</v>
      </c>
      <c r="AK183" s="8">
        <f t="shared" si="228"/>
        <v>7066.26</v>
      </c>
      <c r="AL183" s="8">
        <f t="shared" si="229"/>
        <v>7066.26</v>
      </c>
      <c r="AM183" s="8">
        <f t="shared" si="230"/>
        <v>7772.886</v>
      </c>
      <c r="AN183" s="8">
        <f t="shared" si="231"/>
        <v>7066.26</v>
      </c>
      <c r="AO183" s="8">
        <f t="shared" si="232"/>
        <v>10259.66</v>
      </c>
      <c r="AP183" s="8">
        <f t="shared" si="233"/>
        <v>7066.26</v>
      </c>
      <c r="AQ183" s="7">
        <f t="shared" si="234"/>
        <v>9461.949999999999</v>
      </c>
      <c r="AR183" s="17">
        <f t="shared" si="235"/>
        <v>10259.66</v>
      </c>
      <c r="AS183" s="8">
        <f t="shared" si="236"/>
        <v>7066.26</v>
      </c>
      <c r="AT183" s="12">
        <f t="shared" si="259"/>
        <v>8418</v>
      </c>
      <c r="AU183" s="8">
        <f t="shared" si="237"/>
        <v>11285.626</v>
      </c>
      <c r="AV183" s="8">
        <f t="shared" si="238"/>
        <v>7066.26</v>
      </c>
      <c r="AW183" s="7">
        <f t="shared" si="239"/>
        <v>6712.947</v>
      </c>
      <c r="AX183" s="8" t="str">
        <f t="shared" si="260"/>
        <v>6218.31 IPPS</v>
      </c>
      <c r="AY183" s="14">
        <v>0</v>
      </c>
      <c r="AZ183" s="14">
        <v>0</v>
      </c>
      <c r="BA183" s="14">
        <v>0</v>
      </c>
      <c r="BB183" s="12">
        <f t="shared" si="250"/>
        <v>7066.26</v>
      </c>
      <c r="BC183" s="12">
        <f t="shared" si="251"/>
        <v>7772.886</v>
      </c>
      <c r="BD183" s="12">
        <f t="shared" si="252"/>
        <v>6359.634</v>
      </c>
      <c r="BE183" s="14">
        <v>0</v>
      </c>
      <c r="BF183" s="14">
        <v>0</v>
      </c>
      <c r="BG183" s="14">
        <v>0</v>
      </c>
      <c r="BH183" s="8">
        <f t="shared" si="240"/>
        <v>8479.512</v>
      </c>
      <c r="BI183" s="8">
        <f t="shared" si="241"/>
        <v>7066.26</v>
      </c>
      <c r="BJ183" s="8">
        <f t="shared" si="242"/>
        <v>6712.947</v>
      </c>
      <c r="BK183" s="8">
        <f t="shared" si="243"/>
        <v>7066.26</v>
      </c>
      <c r="BL183" s="58">
        <f>0.898*9755</f>
        <v>8759.99</v>
      </c>
      <c r="BM183" s="8">
        <f t="shared" si="244"/>
        <v>7066.26</v>
      </c>
      <c r="BN183" s="8">
        <f t="shared" si="245"/>
        <v>0</v>
      </c>
      <c r="BO183" s="8">
        <f t="shared" si="246"/>
        <v>13246.729999999998</v>
      </c>
    </row>
    <row r="184" spans="1:67" ht="19.5" customHeight="1">
      <c r="A184" s="10">
        <f t="shared" si="214"/>
        <v>183</v>
      </c>
      <c r="B184" s="6">
        <v>239</v>
      </c>
      <c r="C184" s="11" t="s">
        <v>378</v>
      </c>
      <c r="D184" s="30" t="s">
        <v>274</v>
      </c>
      <c r="E184" s="11" t="s">
        <v>372</v>
      </c>
      <c r="F184" s="42">
        <v>72942.926</v>
      </c>
      <c r="G184" s="11" t="s">
        <v>378</v>
      </c>
      <c r="H184" s="48">
        <v>0</v>
      </c>
      <c r="I184" s="6">
        <v>10</v>
      </c>
      <c r="J184" s="8">
        <f t="shared" si="217"/>
        <v>49221.185</v>
      </c>
      <c r="K184" s="52" t="s">
        <v>382</v>
      </c>
      <c r="L184" s="17">
        <v>37862.45</v>
      </c>
      <c r="M184" s="17">
        <v>8136.42</v>
      </c>
      <c r="N184" s="17">
        <f>4.6697*10804.5</f>
        <v>50453.773649999996</v>
      </c>
      <c r="O184" s="8">
        <f t="shared" si="218"/>
        <v>37862.45</v>
      </c>
      <c r="P184" s="8">
        <f t="shared" si="258"/>
        <v>47328.0625</v>
      </c>
      <c r="Q184" s="14">
        <v>0</v>
      </c>
      <c r="R184" s="14">
        <v>0</v>
      </c>
      <c r="S184" s="9">
        <f t="shared" si="219"/>
        <v>37862.45</v>
      </c>
      <c r="T184" s="21">
        <f t="shared" si="261"/>
        <v>39500</v>
      </c>
      <c r="U184" s="54">
        <f>4.6501*10568</f>
        <v>49142.2568</v>
      </c>
      <c r="V184" s="9">
        <f t="shared" si="221"/>
        <v>37862.45</v>
      </c>
      <c r="W184" s="12">
        <f t="shared" si="253"/>
        <v>37862.45</v>
      </c>
      <c r="X184" s="14">
        <f t="shared" si="222"/>
        <v>37862.45</v>
      </c>
      <c r="Y184" s="12">
        <f t="shared" si="254"/>
        <v>22020</v>
      </c>
      <c r="Z184" s="12">
        <f t="shared" si="223"/>
        <v>35969.32749999999</v>
      </c>
      <c r="AA184" s="12">
        <f t="shared" si="224"/>
        <v>34076.205</v>
      </c>
      <c r="AB184" s="14">
        <v>0</v>
      </c>
      <c r="AC184" s="14">
        <v>0</v>
      </c>
      <c r="AD184" s="14">
        <f t="shared" si="225"/>
        <v>37862.45</v>
      </c>
      <c r="AE184" s="14">
        <f t="shared" si="226"/>
        <v>37862.45</v>
      </c>
      <c r="AF184" s="14">
        <v>0</v>
      </c>
      <c r="AG184" s="7">
        <f t="shared" si="256"/>
        <v>51060.048200000005</v>
      </c>
      <c r="AH184" s="12">
        <f t="shared" si="248"/>
        <v>41648.695</v>
      </c>
      <c r="AI184" s="8">
        <f t="shared" si="249"/>
        <v>37862.45</v>
      </c>
      <c r="AJ184" s="14">
        <f t="shared" si="227"/>
        <v>51871.5565</v>
      </c>
      <c r="AK184" s="14">
        <f t="shared" si="228"/>
        <v>37862.45</v>
      </c>
      <c r="AL184" s="14">
        <f t="shared" si="229"/>
        <v>37862.45</v>
      </c>
      <c r="AM184" s="8">
        <f t="shared" si="230"/>
        <v>41648.695</v>
      </c>
      <c r="AN184" s="8">
        <f t="shared" si="231"/>
        <v>37862.45</v>
      </c>
      <c r="AO184" s="8">
        <f t="shared" si="232"/>
        <v>8136.42</v>
      </c>
      <c r="AP184" s="14">
        <f t="shared" si="233"/>
        <v>37862.45</v>
      </c>
      <c r="AQ184" s="7">
        <f t="shared" si="234"/>
        <v>36471.463</v>
      </c>
      <c r="AR184" s="17">
        <f t="shared" si="235"/>
        <v>8136.42</v>
      </c>
      <c r="AS184" s="14">
        <f t="shared" si="236"/>
        <v>37862.45</v>
      </c>
      <c r="AT184" s="12">
        <f t="shared" si="259"/>
        <v>28060</v>
      </c>
      <c r="AU184" s="8">
        <f t="shared" si="237"/>
        <v>8950.062</v>
      </c>
      <c r="AV184" s="14">
        <f t="shared" si="238"/>
        <v>37862.45</v>
      </c>
      <c r="AW184" s="7">
        <f t="shared" si="239"/>
        <v>35969.32749999999</v>
      </c>
      <c r="AX184" s="8" t="str">
        <f t="shared" si="260"/>
        <v>33318.96 IPPS</v>
      </c>
      <c r="AY184" s="14">
        <v>0</v>
      </c>
      <c r="AZ184" s="14">
        <v>0</v>
      </c>
      <c r="BA184" s="14">
        <v>0</v>
      </c>
      <c r="BB184" s="12">
        <f t="shared" si="250"/>
        <v>37862.45</v>
      </c>
      <c r="BC184" s="12">
        <f t="shared" si="251"/>
        <v>41648.695</v>
      </c>
      <c r="BD184" s="12">
        <f t="shared" si="252"/>
        <v>34076.205</v>
      </c>
      <c r="BE184" s="14">
        <v>0</v>
      </c>
      <c r="BF184" s="14">
        <v>0</v>
      </c>
      <c r="BG184" s="14">
        <v>0</v>
      </c>
      <c r="BH184" s="8">
        <f t="shared" si="240"/>
        <v>45434.939999999995</v>
      </c>
      <c r="BI184" s="14">
        <f t="shared" si="241"/>
        <v>37862.45</v>
      </c>
      <c r="BJ184" s="8">
        <f t="shared" si="242"/>
        <v>35969.32749999999</v>
      </c>
      <c r="BK184" s="14">
        <f t="shared" si="243"/>
        <v>37862.45</v>
      </c>
      <c r="BL184" s="58">
        <f>4.6501*9755</f>
        <v>45361.7255</v>
      </c>
      <c r="BM184" s="14">
        <f t="shared" si="244"/>
        <v>37862.45</v>
      </c>
      <c r="BN184" s="8">
        <f t="shared" si="245"/>
        <v>0</v>
      </c>
      <c r="BO184" s="8">
        <f t="shared" si="246"/>
        <v>51871.5565</v>
      </c>
    </row>
    <row r="185" spans="1:67" ht="19.5" customHeight="1">
      <c r="A185" s="10">
        <f t="shared" si="214"/>
        <v>184</v>
      </c>
      <c r="B185" s="6">
        <v>208</v>
      </c>
      <c r="C185" s="11" t="s">
        <v>378</v>
      </c>
      <c r="D185" s="30" t="s">
        <v>267</v>
      </c>
      <c r="E185" s="11" t="s">
        <v>372</v>
      </c>
      <c r="F185" s="42">
        <v>99422</v>
      </c>
      <c r="G185" s="11" t="s">
        <v>378</v>
      </c>
      <c r="H185" s="48">
        <v>0</v>
      </c>
      <c r="I185" s="6">
        <v>5</v>
      </c>
      <c r="J185" s="8">
        <f t="shared" si="217"/>
        <v>26127.4</v>
      </c>
      <c r="K185" s="52" t="s">
        <v>382</v>
      </c>
      <c r="L185" s="17">
        <v>20098</v>
      </c>
      <c r="M185" s="17">
        <v>8136.42</v>
      </c>
      <c r="N185" s="17">
        <f>2.4841*10804.5</f>
        <v>26839.458450000002</v>
      </c>
      <c r="O185" s="8">
        <f t="shared" si="218"/>
        <v>20098</v>
      </c>
      <c r="P185" s="8">
        <f t="shared" si="258"/>
        <v>25122.5</v>
      </c>
      <c r="Q185" s="14">
        <v>0</v>
      </c>
      <c r="R185" s="14">
        <v>0</v>
      </c>
      <c r="S185" s="9">
        <f t="shared" si="219"/>
        <v>20098</v>
      </c>
      <c r="T185" s="21">
        <f t="shared" si="261"/>
        <v>19750</v>
      </c>
      <c r="U185" s="54">
        <f>2.6001*10568</f>
        <v>27477.856799999998</v>
      </c>
      <c r="V185" s="8">
        <f t="shared" si="221"/>
        <v>20098</v>
      </c>
      <c r="W185" s="12">
        <f t="shared" si="253"/>
        <v>20098</v>
      </c>
      <c r="X185" s="8">
        <f t="shared" si="222"/>
        <v>20098</v>
      </c>
      <c r="Y185" s="12">
        <f t="shared" si="254"/>
        <v>11010</v>
      </c>
      <c r="Z185" s="12">
        <f t="shared" si="223"/>
        <v>19093.1</v>
      </c>
      <c r="AA185" s="12">
        <f t="shared" si="224"/>
        <v>18088.2</v>
      </c>
      <c r="AB185" s="14">
        <v>0</v>
      </c>
      <c r="AC185" s="14">
        <v>0</v>
      </c>
      <c r="AD185" s="8">
        <f t="shared" si="225"/>
        <v>20098</v>
      </c>
      <c r="AE185" s="8">
        <f t="shared" si="226"/>
        <v>20098</v>
      </c>
      <c r="AF185" s="14">
        <v>0</v>
      </c>
      <c r="AG185" s="7">
        <f t="shared" si="256"/>
        <v>69595.4</v>
      </c>
      <c r="AH185" s="12">
        <f t="shared" si="248"/>
        <v>22107.800000000003</v>
      </c>
      <c r="AI185" s="8">
        <f t="shared" si="249"/>
        <v>20098</v>
      </c>
      <c r="AJ185" s="14">
        <f t="shared" si="227"/>
        <v>27534.260000000002</v>
      </c>
      <c r="AK185" s="8">
        <f t="shared" si="228"/>
        <v>20098</v>
      </c>
      <c r="AL185" s="8">
        <f t="shared" si="229"/>
        <v>20098</v>
      </c>
      <c r="AM185" s="8">
        <f t="shared" si="230"/>
        <v>22107.800000000003</v>
      </c>
      <c r="AN185" s="8">
        <f t="shared" si="231"/>
        <v>20098</v>
      </c>
      <c r="AO185" s="8">
        <f t="shared" si="232"/>
        <v>8136.42</v>
      </c>
      <c r="AP185" s="8">
        <f t="shared" si="233"/>
        <v>20098</v>
      </c>
      <c r="AQ185" s="7">
        <f t="shared" si="234"/>
        <v>49711</v>
      </c>
      <c r="AR185" s="17">
        <f t="shared" si="235"/>
        <v>8136.42</v>
      </c>
      <c r="AS185" s="8">
        <f t="shared" si="236"/>
        <v>20098</v>
      </c>
      <c r="AT185" s="12">
        <f t="shared" si="259"/>
        <v>14030</v>
      </c>
      <c r="AU185" s="8">
        <f t="shared" si="237"/>
        <v>8950.062</v>
      </c>
      <c r="AV185" s="8">
        <f t="shared" si="238"/>
        <v>20098</v>
      </c>
      <c r="AW185" s="7">
        <f t="shared" si="239"/>
        <v>19093.1</v>
      </c>
      <c r="AX185" s="8" t="str">
        <f t="shared" si="260"/>
        <v>17686.24 IPPS</v>
      </c>
      <c r="AY185" s="14">
        <v>0</v>
      </c>
      <c r="AZ185" s="14">
        <v>0</v>
      </c>
      <c r="BA185" s="14">
        <v>0</v>
      </c>
      <c r="BB185" s="12">
        <f t="shared" si="250"/>
        <v>20098</v>
      </c>
      <c r="BC185" s="12">
        <f t="shared" si="251"/>
        <v>22107.800000000003</v>
      </c>
      <c r="BD185" s="12">
        <f t="shared" si="252"/>
        <v>18088.2</v>
      </c>
      <c r="BE185" s="14">
        <v>0</v>
      </c>
      <c r="BF185" s="14">
        <v>0</v>
      </c>
      <c r="BG185" s="14">
        <v>0</v>
      </c>
      <c r="BH185" s="8">
        <f t="shared" si="240"/>
        <v>24117.6</v>
      </c>
      <c r="BI185" s="8">
        <f t="shared" si="241"/>
        <v>20098</v>
      </c>
      <c r="BJ185" s="8">
        <f t="shared" si="242"/>
        <v>19093.1</v>
      </c>
      <c r="BK185" s="8">
        <f t="shared" si="243"/>
        <v>20098</v>
      </c>
      <c r="BL185" s="58">
        <f>2.6001*9755</f>
        <v>25363.975499999997</v>
      </c>
      <c r="BM185" s="8">
        <f t="shared" si="244"/>
        <v>20098</v>
      </c>
      <c r="BN185" s="8">
        <f t="shared" si="245"/>
        <v>0</v>
      </c>
      <c r="BO185" s="8">
        <f aca="true" t="shared" si="262" ref="BO185:BO217">MAX(N185:BM185)</f>
        <v>69595.4</v>
      </c>
    </row>
    <row r="186" spans="1:67" ht="19.5" customHeight="1">
      <c r="A186" s="10">
        <f t="shared" si="214"/>
        <v>185</v>
      </c>
      <c r="B186" s="6">
        <v>371</v>
      </c>
      <c r="C186" s="11" t="s">
        <v>378</v>
      </c>
      <c r="D186" s="30" t="s">
        <v>268</v>
      </c>
      <c r="E186" s="11" t="s">
        <v>372</v>
      </c>
      <c r="F186" s="42">
        <v>35367.582</v>
      </c>
      <c r="G186" s="11" t="s">
        <v>378</v>
      </c>
      <c r="H186" s="48">
        <v>0</v>
      </c>
      <c r="I186" s="6">
        <v>5</v>
      </c>
      <c r="J186" s="8">
        <f t="shared" si="217"/>
        <v>17833.036</v>
      </c>
      <c r="K186" s="52" t="s">
        <v>382</v>
      </c>
      <c r="L186" s="17">
        <v>13717.72</v>
      </c>
      <c r="M186" s="17">
        <v>3934.04</v>
      </c>
      <c r="N186" s="17">
        <f>1.7255*10804.5</f>
        <v>18643.16475</v>
      </c>
      <c r="O186" s="8">
        <f t="shared" si="218"/>
        <v>13717.72</v>
      </c>
      <c r="P186" s="8">
        <f t="shared" si="258"/>
        <v>17147.149999999998</v>
      </c>
      <c r="Q186" s="14">
        <v>0</v>
      </c>
      <c r="R186" s="14">
        <v>0</v>
      </c>
      <c r="S186" s="9">
        <f t="shared" si="219"/>
        <v>13717.72</v>
      </c>
      <c r="T186" s="21">
        <f t="shared" si="261"/>
        <v>19750</v>
      </c>
      <c r="U186" s="56">
        <f>1.6918*10568</f>
        <v>17878.9424</v>
      </c>
      <c r="V186" s="8">
        <f t="shared" si="221"/>
        <v>13717.72</v>
      </c>
      <c r="W186" s="12">
        <f t="shared" si="253"/>
        <v>13717.72</v>
      </c>
      <c r="X186" s="8">
        <f t="shared" si="222"/>
        <v>13717.72</v>
      </c>
      <c r="Y186" s="12">
        <f t="shared" si="254"/>
        <v>11010</v>
      </c>
      <c r="Z186" s="12">
        <f t="shared" si="223"/>
        <v>13031.833999999999</v>
      </c>
      <c r="AA186" s="12">
        <f t="shared" si="224"/>
        <v>12345.948</v>
      </c>
      <c r="AB186" s="14">
        <v>0</v>
      </c>
      <c r="AC186" s="14">
        <v>0</v>
      </c>
      <c r="AD186" s="8">
        <f t="shared" si="225"/>
        <v>13717.72</v>
      </c>
      <c r="AE186" s="8">
        <f t="shared" si="226"/>
        <v>13717.72</v>
      </c>
      <c r="AF186" s="14">
        <v>0</v>
      </c>
      <c r="AG186" s="7">
        <f t="shared" si="256"/>
        <v>24757.3074</v>
      </c>
      <c r="AH186" s="12">
        <f t="shared" si="248"/>
        <v>15089.492</v>
      </c>
      <c r="AI186" s="8">
        <f t="shared" si="249"/>
        <v>13717.72</v>
      </c>
      <c r="AJ186" s="14">
        <f t="shared" si="227"/>
        <v>18793.2764</v>
      </c>
      <c r="AK186" s="8">
        <f t="shared" si="228"/>
        <v>13717.72</v>
      </c>
      <c r="AL186" s="8">
        <f t="shared" si="229"/>
        <v>13717.72</v>
      </c>
      <c r="AM186" s="8">
        <f t="shared" si="230"/>
        <v>15089.492</v>
      </c>
      <c r="AN186" s="8">
        <f t="shared" si="231"/>
        <v>13717.72</v>
      </c>
      <c r="AO186" s="8">
        <f t="shared" si="232"/>
        <v>3934.04</v>
      </c>
      <c r="AP186" s="8">
        <f t="shared" si="233"/>
        <v>13717.72</v>
      </c>
      <c r="AQ186" s="7">
        <f t="shared" si="234"/>
        <v>17683.791</v>
      </c>
      <c r="AR186" s="17">
        <f t="shared" si="235"/>
        <v>3934.04</v>
      </c>
      <c r="AS186" s="8">
        <f t="shared" si="236"/>
        <v>13717.72</v>
      </c>
      <c r="AT186" s="12">
        <f t="shared" si="259"/>
        <v>14030</v>
      </c>
      <c r="AU186" s="8">
        <f t="shared" si="237"/>
        <v>4327.444</v>
      </c>
      <c r="AV186" s="8">
        <f t="shared" si="238"/>
        <v>13717.72</v>
      </c>
      <c r="AW186" s="7">
        <f t="shared" si="239"/>
        <v>13031.833999999999</v>
      </c>
      <c r="AX186" s="8" t="str">
        <f t="shared" si="260"/>
        <v>12071.59 IPPS</v>
      </c>
      <c r="AY186" s="14">
        <v>0</v>
      </c>
      <c r="AZ186" s="14">
        <v>0</v>
      </c>
      <c r="BA186" s="14">
        <v>0</v>
      </c>
      <c r="BB186" s="12">
        <f t="shared" si="250"/>
        <v>13717.72</v>
      </c>
      <c r="BC186" s="12">
        <f t="shared" si="251"/>
        <v>15089.492</v>
      </c>
      <c r="BD186" s="12">
        <f t="shared" si="252"/>
        <v>12345.948</v>
      </c>
      <c r="BE186" s="14">
        <v>0</v>
      </c>
      <c r="BF186" s="14">
        <v>0</v>
      </c>
      <c r="BG186" s="14">
        <v>0</v>
      </c>
      <c r="BH186" s="8">
        <f t="shared" si="240"/>
        <v>16461.264</v>
      </c>
      <c r="BI186" s="8">
        <f t="shared" si="241"/>
        <v>13717.72</v>
      </c>
      <c r="BJ186" s="8">
        <f t="shared" si="242"/>
        <v>13031.833999999999</v>
      </c>
      <c r="BK186" s="8">
        <f t="shared" si="243"/>
        <v>13717.72</v>
      </c>
      <c r="BL186" s="56">
        <f>1.6918*9755</f>
        <v>16503.509</v>
      </c>
      <c r="BM186" s="8">
        <f t="shared" si="244"/>
        <v>13717.72</v>
      </c>
      <c r="BN186" s="8">
        <f t="shared" si="245"/>
        <v>0</v>
      </c>
      <c r="BO186" s="8">
        <f t="shared" si="262"/>
        <v>24757.3074</v>
      </c>
    </row>
    <row r="187" spans="1:67" ht="19.5" customHeight="1">
      <c r="A187" s="10">
        <f t="shared" si="214"/>
        <v>186</v>
      </c>
      <c r="B187" s="6">
        <v>439</v>
      </c>
      <c r="C187" s="11" t="s">
        <v>378</v>
      </c>
      <c r="D187" s="30" t="s">
        <v>269</v>
      </c>
      <c r="E187" s="11" t="s">
        <v>372</v>
      </c>
      <c r="F187" s="43">
        <v>35259.729999999996</v>
      </c>
      <c r="G187" s="11" t="s">
        <v>378</v>
      </c>
      <c r="H187" s="48">
        <v>0</v>
      </c>
      <c r="I187" s="6">
        <v>3</v>
      </c>
      <c r="J187" s="8">
        <f t="shared" si="217"/>
        <v>8826.441</v>
      </c>
      <c r="K187" s="52" t="s">
        <v>382</v>
      </c>
      <c r="L187" s="17">
        <v>6789.57</v>
      </c>
      <c r="M187" s="17">
        <v>4116.48</v>
      </c>
      <c r="N187" s="17">
        <f>0.8472*10804.5</f>
        <v>9153.5724</v>
      </c>
      <c r="O187" s="8">
        <f t="shared" si="218"/>
        <v>6789.57</v>
      </c>
      <c r="P187" s="8">
        <f t="shared" si="258"/>
        <v>8486.9625</v>
      </c>
      <c r="Q187" s="14">
        <v>0</v>
      </c>
      <c r="R187" s="14">
        <v>0</v>
      </c>
      <c r="S187" s="9">
        <f t="shared" si="219"/>
        <v>6789.57</v>
      </c>
      <c r="T187" s="21">
        <f t="shared" si="261"/>
        <v>11850</v>
      </c>
      <c r="U187" s="54">
        <f>0.8698*10568</f>
        <v>9192.046400000001</v>
      </c>
      <c r="V187" s="8">
        <f t="shared" si="221"/>
        <v>6789.57</v>
      </c>
      <c r="W187" s="12">
        <f t="shared" si="253"/>
        <v>6789.57</v>
      </c>
      <c r="X187" s="8">
        <f t="shared" si="222"/>
        <v>6789.57</v>
      </c>
      <c r="Y187" s="12">
        <f t="shared" si="254"/>
        <v>6606</v>
      </c>
      <c r="Z187" s="12">
        <f t="shared" si="223"/>
        <v>6450.0914999999995</v>
      </c>
      <c r="AA187" s="12">
        <f t="shared" si="224"/>
        <v>6110.613</v>
      </c>
      <c r="AB187" s="14">
        <v>0</v>
      </c>
      <c r="AC187" s="14">
        <v>0</v>
      </c>
      <c r="AD187" s="8">
        <f t="shared" si="225"/>
        <v>6789.57</v>
      </c>
      <c r="AE187" s="8">
        <f t="shared" si="226"/>
        <v>6789.57</v>
      </c>
      <c r="AF187" s="14">
        <v>0</v>
      </c>
      <c r="AG187" s="7">
        <f t="shared" si="256"/>
        <v>24681.810999999994</v>
      </c>
      <c r="AH187" s="12">
        <f t="shared" si="248"/>
        <v>7468.527</v>
      </c>
      <c r="AI187" s="8">
        <f t="shared" si="249"/>
        <v>6789.57</v>
      </c>
      <c r="AJ187" s="14">
        <f t="shared" si="227"/>
        <v>9301.7109</v>
      </c>
      <c r="AK187" s="8">
        <f t="shared" si="228"/>
        <v>6789.57</v>
      </c>
      <c r="AL187" s="8">
        <f t="shared" si="229"/>
        <v>6789.57</v>
      </c>
      <c r="AM187" s="8">
        <f t="shared" si="230"/>
        <v>7468.527</v>
      </c>
      <c r="AN187" s="8">
        <f t="shared" si="231"/>
        <v>6789.57</v>
      </c>
      <c r="AO187" s="8">
        <f t="shared" si="232"/>
        <v>4116.48</v>
      </c>
      <c r="AP187" s="8">
        <f t="shared" si="233"/>
        <v>6789.57</v>
      </c>
      <c r="AQ187" s="7">
        <f t="shared" si="234"/>
        <v>17629.864999999998</v>
      </c>
      <c r="AR187" s="17">
        <f t="shared" si="235"/>
        <v>4116.48</v>
      </c>
      <c r="AS187" s="8">
        <f t="shared" si="236"/>
        <v>6789.57</v>
      </c>
      <c r="AT187" s="12">
        <f t="shared" si="259"/>
        <v>8418</v>
      </c>
      <c r="AU187" s="8">
        <f t="shared" si="237"/>
        <v>4528.128</v>
      </c>
      <c r="AV187" s="8">
        <f t="shared" si="238"/>
        <v>6789.57</v>
      </c>
      <c r="AW187" s="7">
        <f t="shared" si="239"/>
        <v>6450.0914999999995</v>
      </c>
      <c r="AX187" s="8" t="str">
        <f t="shared" si="260"/>
        <v>5974.82 IPPS</v>
      </c>
      <c r="AY187" s="14">
        <v>0</v>
      </c>
      <c r="AZ187" s="14">
        <v>0</v>
      </c>
      <c r="BA187" s="14">
        <v>0</v>
      </c>
      <c r="BB187" s="12">
        <f t="shared" si="250"/>
        <v>6789.57</v>
      </c>
      <c r="BC187" s="12">
        <f t="shared" si="251"/>
        <v>7468.527</v>
      </c>
      <c r="BD187" s="12">
        <f t="shared" si="252"/>
        <v>6110.613</v>
      </c>
      <c r="BE187" s="14">
        <v>0</v>
      </c>
      <c r="BF187" s="14">
        <v>0</v>
      </c>
      <c r="BG187" s="14">
        <v>0</v>
      </c>
      <c r="BH187" s="8">
        <f t="shared" si="240"/>
        <v>8147.4839999999995</v>
      </c>
      <c r="BI187" s="8">
        <f t="shared" si="241"/>
        <v>6789.57</v>
      </c>
      <c r="BJ187" s="8">
        <f t="shared" si="242"/>
        <v>6450.0914999999995</v>
      </c>
      <c r="BK187" s="8">
        <f t="shared" si="243"/>
        <v>6789.57</v>
      </c>
      <c r="BL187" s="58">
        <f>0.8698*9755</f>
        <v>8484.899</v>
      </c>
      <c r="BM187" s="8">
        <f t="shared" si="244"/>
        <v>6789.57</v>
      </c>
      <c r="BN187" s="8">
        <f t="shared" si="245"/>
        <v>0</v>
      </c>
      <c r="BO187" s="8">
        <f t="shared" si="262"/>
        <v>24681.810999999994</v>
      </c>
    </row>
    <row r="188" spans="1:67" ht="19.5" customHeight="1">
      <c r="A188" s="10">
        <f t="shared" si="214"/>
        <v>187</v>
      </c>
      <c r="B188" s="6">
        <v>617</v>
      </c>
      <c r="C188" s="11" t="s">
        <v>378</v>
      </c>
      <c r="D188" s="30" t="s">
        <v>275</v>
      </c>
      <c r="E188" s="11" t="s">
        <v>372</v>
      </c>
      <c r="F188" s="42">
        <v>45306.072</v>
      </c>
      <c r="G188" s="11" t="s">
        <v>378</v>
      </c>
      <c r="H188" s="48">
        <v>0</v>
      </c>
      <c r="I188" s="6">
        <v>6</v>
      </c>
      <c r="J188" s="8">
        <f t="shared" si="217"/>
        <v>20949.032</v>
      </c>
      <c r="K188" s="52" t="s">
        <v>382</v>
      </c>
      <c r="L188" s="17">
        <v>16114.64</v>
      </c>
      <c r="M188" s="17">
        <v>8136.42</v>
      </c>
      <c r="N188" s="17">
        <f>2.0513*10804.5</f>
        <v>22163.270849999997</v>
      </c>
      <c r="O188" s="8">
        <f t="shared" si="218"/>
        <v>16114.64</v>
      </c>
      <c r="P188" s="8">
        <f t="shared" si="258"/>
        <v>20143.3</v>
      </c>
      <c r="Q188" s="14">
        <v>0</v>
      </c>
      <c r="R188" s="14">
        <v>0</v>
      </c>
      <c r="S188" s="9">
        <f t="shared" si="219"/>
        <v>16114.64</v>
      </c>
      <c r="T188" s="21">
        <f t="shared" si="261"/>
        <v>23700</v>
      </c>
      <c r="U188" s="54">
        <f>1.944*10568</f>
        <v>20544.192</v>
      </c>
      <c r="V188" s="9">
        <f t="shared" si="221"/>
        <v>16114.64</v>
      </c>
      <c r="W188" s="12">
        <f t="shared" si="253"/>
        <v>16114.64</v>
      </c>
      <c r="X188" s="14">
        <f t="shared" si="222"/>
        <v>16114.64</v>
      </c>
      <c r="Y188" s="12">
        <f t="shared" si="254"/>
        <v>13212</v>
      </c>
      <c r="Z188" s="12">
        <f t="shared" si="223"/>
        <v>15308.908</v>
      </c>
      <c r="AA188" s="12">
        <f t="shared" si="224"/>
        <v>14503.176</v>
      </c>
      <c r="AB188" s="14">
        <v>0</v>
      </c>
      <c r="AC188" s="14">
        <v>0</v>
      </c>
      <c r="AD188" s="14">
        <f t="shared" si="225"/>
        <v>16114.64</v>
      </c>
      <c r="AE188" s="14">
        <f t="shared" si="226"/>
        <v>16114.64</v>
      </c>
      <c r="AF188" s="14">
        <v>0</v>
      </c>
      <c r="AG188" s="7">
        <f t="shared" si="256"/>
        <v>31714.250399999997</v>
      </c>
      <c r="AH188" s="12">
        <f t="shared" si="248"/>
        <v>17726.104</v>
      </c>
      <c r="AI188" s="8">
        <f t="shared" si="249"/>
        <v>16114.64</v>
      </c>
      <c r="AJ188" s="14">
        <f t="shared" si="227"/>
        <v>22077.056800000002</v>
      </c>
      <c r="AK188" s="14">
        <f t="shared" si="228"/>
        <v>16114.64</v>
      </c>
      <c r="AL188" s="14">
        <f t="shared" si="229"/>
        <v>16114.64</v>
      </c>
      <c r="AM188" s="8">
        <f t="shared" si="230"/>
        <v>17726.104</v>
      </c>
      <c r="AN188" s="8">
        <f t="shared" si="231"/>
        <v>16114.64</v>
      </c>
      <c r="AO188" s="8">
        <f t="shared" si="232"/>
        <v>8136.42</v>
      </c>
      <c r="AP188" s="14">
        <f t="shared" si="233"/>
        <v>16114.64</v>
      </c>
      <c r="AQ188" s="7">
        <f t="shared" si="234"/>
        <v>22653.036</v>
      </c>
      <c r="AR188" s="17">
        <f t="shared" si="235"/>
        <v>8136.42</v>
      </c>
      <c r="AS188" s="14">
        <f t="shared" si="236"/>
        <v>16114.64</v>
      </c>
      <c r="AT188" s="12">
        <f t="shared" si="259"/>
        <v>16836</v>
      </c>
      <c r="AU188" s="8">
        <f t="shared" si="237"/>
        <v>8950.062</v>
      </c>
      <c r="AV188" s="14">
        <f t="shared" si="238"/>
        <v>16114.64</v>
      </c>
      <c r="AW188" s="7">
        <f t="shared" si="239"/>
        <v>15308.908</v>
      </c>
      <c r="AX188" s="8" t="str">
        <f t="shared" si="260"/>
        <v>14180.88 IPPS</v>
      </c>
      <c r="AY188" s="14">
        <v>0</v>
      </c>
      <c r="AZ188" s="14">
        <v>0</v>
      </c>
      <c r="BA188" s="14">
        <v>0</v>
      </c>
      <c r="BB188" s="12">
        <f t="shared" si="250"/>
        <v>16114.64</v>
      </c>
      <c r="BC188" s="12">
        <f t="shared" si="251"/>
        <v>17726.104</v>
      </c>
      <c r="BD188" s="12">
        <f t="shared" si="252"/>
        <v>14503.176</v>
      </c>
      <c r="BE188" s="14">
        <v>0</v>
      </c>
      <c r="BF188" s="14">
        <v>0</v>
      </c>
      <c r="BG188" s="14">
        <v>0</v>
      </c>
      <c r="BH188" s="8">
        <f t="shared" si="240"/>
        <v>19337.568</v>
      </c>
      <c r="BI188" s="14">
        <f t="shared" si="241"/>
        <v>16114.64</v>
      </c>
      <c r="BJ188" s="8">
        <f t="shared" si="242"/>
        <v>15308.908</v>
      </c>
      <c r="BK188" s="14">
        <f t="shared" si="243"/>
        <v>16114.64</v>
      </c>
      <c r="BL188" s="58">
        <f>1.944*9755</f>
        <v>18963.72</v>
      </c>
      <c r="BM188" s="14">
        <f t="shared" si="244"/>
        <v>16114.64</v>
      </c>
      <c r="BN188" s="8">
        <f t="shared" si="245"/>
        <v>0</v>
      </c>
      <c r="BO188" s="8">
        <f t="shared" si="262"/>
        <v>31714.250399999997</v>
      </c>
    </row>
    <row r="189" spans="1:67" ht="19.5" customHeight="1">
      <c r="A189" s="10">
        <f t="shared" si="214"/>
        <v>188</v>
      </c>
      <c r="B189" s="6">
        <v>71</v>
      </c>
      <c r="C189" s="11" t="s">
        <v>378</v>
      </c>
      <c r="D189" s="30" t="s">
        <v>270</v>
      </c>
      <c r="E189" s="11" t="s">
        <v>372</v>
      </c>
      <c r="F189" s="42">
        <v>28174.57</v>
      </c>
      <c r="G189" s="11" t="s">
        <v>378</v>
      </c>
      <c r="H189" s="48">
        <v>0</v>
      </c>
      <c r="I189" s="6">
        <v>3</v>
      </c>
      <c r="J189" s="8">
        <f t="shared" si="217"/>
        <v>10521.979</v>
      </c>
      <c r="K189" s="52" t="s">
        <v>382</v>
      </c>
      <c r="L189" s="17">
        <v>8093.83</v>
      </c>
      <c r="M189" s="17">
        <v>5688.58</v>
      </c>
      <c r="N189" s="17">
        <f>0.9947*10804.5</f>
        <v>10747.23615</v>
      </c>
      <c r="O189" s="8">
        <f t="shared" si="218"/>
        <v>8093.83</v>
      </c>
      <c r="P189" s="8">
        <f t="shared" si="258"/>
        <v>10117.2875</v>
      </c>
      <c r="Q189" s="14">
        <v>0</v>
      </c>
      <c r="R189" s="14">
        <v>0</v>
      </c>
      <c r="S189" s="9">
        <f t="shared" si="219"/>
        <v>8093.83</v>
      </c>
      <c r="T189" s="21">
        <f t="shared" si="261"/>
        <v>11850</v>
      </c>
      <c r="U189" s="54">
        <f>1.069*10568</f>
        <v>11297.192</v>
      </c>
      <c r="V189" s="8">
        <f t="shared" si="221"/>
        <v>8093.83</v>
      </c>
      <c r="W189" s="12">
        <f t="shared" si="253"/>
        <v>8093.83</v>
      </c>
      <c r="X189" s="8">
        <f t="shared" si="222"/>
        <v>8093.83</v>
      </c>
      <c r="Y189" s="12">
        <f t="shared" si="254"/>
        <v>6606</v>
      </c>
      <c r="Z189" s="12">
        <f t="shared" si="223"/>
        <v>7689.1385</v>
      </c>
      <c r="AA189" s="12">
        <f t="shared" si="224"/>
        <v>7284.447</v>
      </c>
      <c r="AB189" s="14">
        <v>0</v>
      </c>
      <c r="AC189" s="14">
        <v>0</v>
      </c>
      <c r="AD189" s="8">
        <f t="shared" si="225"/>
        <v>8093.83</v>
      </c>
      <c r="AE189" s="8">
        <f t="shared" si="226"/>
        <v>8093.83</v>
      </c>
      <c r="AF189" s="14">
        <v>0</v>
      </c>
      <c r="AG189" s="7">
        <f t="shared" si="256"/>
        <v>19722.198999999997</v>
      </c>
      <c r="AH189" s="12">
        <f t="shared" si="248"/>
        <v>8903.213</v>
      </c>
      <c r="AI189" s="8">
        <f t="shared" si="249"/>
        <v>8093.83</v>
      </c>
      <c r="AJ189" s="14">
        <f t="shared" si="227"/>
        <v>11088.547100000002</v>
      </c>
      <c r="AK189" s="8">
        <f t="shared" si="228"/>
        <v>8093.83</v>
      </c>
      <c r="AL189" s="8">
        <f t="shared" si="229"/>
        <v>8093.83</v>
      </c>
      <c r="AM189" s="8">
        <f t="shared" si="230"/>
        <v>8903.213</v>
      </c>
      <c r="AN189" s="8">
        <f t="shared" si="231"/>
        <v>8093.83</v>
      </c>
      <c r="AO189" s="8">
        <f t="shared" si="232"/>
        <v>5688.58</v>
      </c>
      <c r="AP189" s="8">
        <f t="shared" si="233"/>
        <v>8093.83</v>
      </c>
      <c r="AQ189" s="7">
        <f t="shared" si="234"/>
        <v>14087.285</v>
      </c>
      <c r="AR189" s="17">
        <f t="shared" si="235"/>
        <v>5688.58</v>
      </c>
      <c r="AS189" s="8">
        <f t="shared" si="236"/>
        <v>8093.83</v>
      </c>
      <c r="AT189" s="12">
        <f t="shared" si="259"/>
        <v>8418</v>
      </c>
      <c r="AU189" s="8">
        <f t="shared" si="237"/>
        <v>6257.438</v>
      </c>
      <c r="AV189" s="8">
        <f t="shared" si="238"/>
        <v>8093.83</v>
      </c>
      <c r="AW189" s="7">
        <f t="shared" si="239"/>
        <v>7689.1385</v>
      </c>
      <c r="AX189" s="8" t="str">
        <f t="shared" si="260"/>
        <v>7122.57 IPPS</v>
      </c>
      <c r="AY189" s="14">
        <v>0</v>
      </c>
      <c r="AZ189" s="14">
        <v>0</v>
      </c>
      <c r="BA189" s="14">
        <v>0</v>
      </c>
      <c r="BB189" s="12">
        <f t="shared" si="250"/>
        <v>8093.83</v>
      </c>
      <c r="BC189" s="12">
        <f t="shared" si="251"/>
        <v>8903.213</v>
      </c>
      <c r="BD189" s="12">
        <f t="shared" si="252"/>
        <v>7284.447</v>
      </c>
      <c r="BE189" s="14">
        <v>0</v>
      </c>
      <c r="BF189" s="14">
        <v>0</v>
      </c>
      <c r="BG189" s="14">
        <v>0</v>
      </c>
      <c r="BH189" s="8">
        <f t="shared" si="240"/>
        <v>9712.596</v>
      </c>
      <c r="BI189" s="8">
        <f t="shared" si="241"/>
        <v>8093.83</v>
      </c>
      <c r="BJ189" s="8">
        <f t="shared" si="242"/>
        <v>7689.1385</v>
      </c>
      <c r="BK189" s="8">
        <f t="shared" si="243"/>
        <v>8093.83</v>
      </c>
      <c r="BL189" s="58">
        <f>1.069*9755</f>
        <v>10428.095</v>
      </c>
      <c r="BM189" s="8">
        <f t="shared" si="244"/>
        <v>8093.83</v>
      </c>
      <c r="BN189" s="8">
        <f t="shared" si="245"/>
        <v>0</v>
      </c>
      <c r="BO189" s="8">
        <f t="shared" si="262"/>
        <v>19722.198999999997</v>
      </c>
    </row>
    <row r="190" spans="1:67" ht="19.5" customHeight="1">
      <c r="A190" s="10">
        <f t="shared" si="214"/>
        <v>189</v>
      </c>
      <c r="B190" s="6">
        <v>101</v>
      </c>
      <c r="C190" s="11" t="s">
        <v>378</v>
      </c>
      <c r="D190" s="30" t="s">
        <v>271</v>
      </c>
      <c r="E190" s="11" t="s">
        <v>372</v>
      </c>
      <c r="F190" s="42">
        <v>12119.35</v>
      </c>
      <c r="G190" s="11" t="s">
        <v>378</v>
      </c>
      <c r="H190" s="48">
        <v>0</v>
      </c>
      <c r="I190" s="6">
        <v>3</v>
      </c>
      <c r="J190" s="8">
        <f t="shared" si="217"/>
        <v>9260.511</v>
      </c>
      <c r="K190" s="52" t="s">
        <v>382</v>
      </c>
      <c r="L190" s="17">
        <v>7123.47</v>
      </c>
      <c r="M190" s="17">
        <v>3452.83</v>
      </c>
      <c r="N190" s="17">
        <f>0.8829*10804.5</f>
        <v>9539.29305</v>
      </c>
      <c r="O190" s="8">
        <f t="shared" si="218"/>
        <v>7123.47</v>
      </c>
      <c r="P190" s="8">
        <f t="shared" si="258"/>
        <v>8904.3375</v>
      </c>
      <c r="Q190" s="14">
        <v>0</v>
      </c>
      <c r="R190" s="14">
        <v>0</v>
      </c>
      <c r="S190" s="9">
        <f t="shared" si="219"/>
        <v>7123.47</v>
      </c>
      <c r="T190" s="21">
        <f t="shared" si="261"/>
        <v>11850</v>
      </c>
      <c r="U190" s="54">
        <f>0.9015*10568</f>
        <v>9527.052</v>
      </c>
      <c r="V190" s="8">
        <f t="shared" si="221"/>
        <v>7123.47</v>
      </c>
      <c r="W190" s="12">
        <f t="shared" si="253"/>
        <v>7123.47</v>
      </c>
      <c r="X190" s="8">
        <f t="shared" si="222"/>
        <v>7123.47</v>
      </c>
      <c r="Y190" s="12">
        <f t="shared" si="254"/>
        <v>6606</v>
      </c>
      <c r="Z190" s="12">
        <f t="shared" si="223"/>
        <v>6767.2965</v>
      </c>
      <c r="AA190" s="12">
        <f t="shared" si="224"/>
        <v>6411.1230000000005</v>
      </c>
      <c r="AB190" s="14">
        <v>0</v>
      </c>
      <c r="AC190" s="14">
        <v>0</v>
      </c>
      <c r="AD190" s="8">
        <f t="shared" si="225"/>
        <v>7123.47</v>
      </c>
      <c r="AE190" s="8">
        <f t="shared" si="226"/>
        <v>7123.47</v>
      </c>
      <c r="AF190" s="14">
        <v>0</v>
      </c>
      <c r="AG190" s="7">
        <f t="shared" si="256"/>
        <v>8483.545</v>
      </c>
      <c r="AH190" s="12">
        <f t="shared" si="248"/>
        <v>7835.817000000001</v>
      </c>
      <c r="AI190" s="8">
        <f t="shared" si="249"/>
        <v>7123.47</v>
      </c>
      <c r="AJ190" s="14">
        <f t="shared" si="227"/>
        <v>9759.153900000001</v>
      </c>
      <c r="AK190" s="8">
        <f t="shared" si="228"/>
        <v>7123.47</v>
      </c>
      <c r="AL190" s="8">
        <f t="shared" si="229"/>
        <v>7123.47</v>
      </c>
      <c r="AM190" s="8">
        <f t="shared" si="230"/>
        <v>7835.817000000001</v>
      </c>
      <c r="AN190" s="8">
        <f t="shared" si="231"/>
        <v>7123.47</v>
      </c>
      <c r="AO190" s="8">
        <f t="shared" si="232"/>
        <v>3452.83</v>
      </c>
      <c r="AP190" s="8">
        <f t="shared" si="233"/>
        <v>7123.47</v>
      </c>
      <c r="AQ190" s="7">
        <f t="shared" si="234"/>
        <v>6059.675</v>
      </c>
      <c r="AR190" s="17">
        <f t="shared" si="235"/>
        <v>3452.83</v>
      </c>
      <c r="AS190" s="8">
        <f t="shared" si="236"/>
        <v>7123.47</v>
      </c>
      <c r="AT190" s="12">
        <f t="shared" si="259"/>
        <v>8418</v>
      </c>
      <c r="AU190" s="8">
        <f t="shared" si="237"/>
        <v>3798.1130000000003</v>
      </c>
      <c r="AV190" s="8">
        <f t="shared" si="238"/>
        <v>7123.47</v>
      </c>
      <c r="AW190" s="7">
        <f t="shared" si="239"/>
        <v>6767.2965</v>
      </c>
      <c r="AX190" s="8" t="str">
        <f t="shared" si="260"/>
        <v>6268.65 IPPS</v>
      </c>
      <c r="AY190" s="14">
        <v>0</v>
      </c>
      <c r="AZ190" s="14">
        <v>0</v>
      </c>
      <c r="BA190" s="14">
        <v>0</v>
      </c>
      <c r="BB190" s="12">
        <f t="shared" si="250"/>
        <v>7123.47</v>
      </c>
      <c r="BC190" s="12">
        <f t="shared" si="251"/>
        <v>7835.817000000001</v>
      </c>
      <c r="BD190" s="12">
        <f t="shared" si="252"/>
        <v>6411.1230000000005</v>
      </c>
      <c r="BE190" s="14">
        <v>0</v>
      </c>
      <c r="BF190" s="14">
        <v>0</v>
      </c>
      <c r="BG190" s="14">
        <v>0</v>
      </c>
      <c r="BH190" s="8">
        <f t="shared" si="240"/>
        <v>8548.164</v>
      </c>
      <c r="BI190" s="8">
        <f t="shared" si="241"/>
        <v>7123.47</v>
      </c>
      <c r="BJ190" s="8">
        <f t="shared" si="242"/>
        <v>6767.2965</v>
      </c>
      <c r="BK190" s="8">
        <f t="shared" si="243"/>
        <v>7123.47</v>
      </c>
      <c r="BL190" s="58">
        <f>0.9015*9755</f>
        <v>8794.1325</v>
      </c>
      <c r="BM190" s="8">
        <f t="shared" si="244"/>
        <v>7123.47</v>
      </c>
      <c r="BN190" s="8">
        <f t="shared" si="245"/>
        <v>0</v>
      </c>
      <c r="BO190" s="8">
        <f t="shared" si="262"/>
        <v>11850</v>
      </c>
    </row>
    <row r="191" spans="1:67" ht="19.5" customHeight="1">
      <c r="A191" s="10">
        <f t="shared" si="214"/>
        <v>190</v>
      </c>
      <c r="B191" s="6">
        <v>312</v>
      </c>
      <c r="C191" s="11" t="s">
        <v>378</v>
      </c>
      <c r="D191" s="30" t="s">
        <v>272</v>
      </c>
      <c r="E191" s="11" t="s">
        <v>372</v>
      </c>
      <c r="F191" s="42">
        <v>18709.521999999997</v>
      </c>
      <c r="G191" s="11" t="s">
        <v>378</v>
      </c>
      <c r="H191" s="48">
        <v>0</v>
      </c>
      <c r="I191" s="6">
        <v>2</v>
      </c>
      <c r="J191" s="8">
        <f t="shared" si="217"/>
        <v>8753.056</v>
      </c>
      <c r="K191" s="52" t="s">
        <v>382</v>
      </c>
      <c r="L191" s="17">
        <v>6733.12</v>
      </c>
      <c r="M191" s="17">
        <v>3721.18</v>
      </c>
      <c r="N191" s="17">
        <f>0.8166*10804.5</f>
        <v>8822.9547</v>
      </c>
      <c r="O191" s="8">
        <f t="shared" si="218"/>
        <v>6733.12</v>
      </c>
      <c r="P191" s="8">
        <f t="shared" si="258"/>
        <v>8416.4</v>
      </c>
      <c r="Q191" s="14">
        <v>0</v>
      </c>
      <c r="R191" s="14">
        <v>0</v>
      </c>
      <c r="S191" s="9">
        <f t="shared" si="219"/>
        <v>6733.12</v>
      </c>
      <c r="T191" s="21">
        <f t="shared" si="261"/>
        <v>7900</v>
      </c>
      <c r="U191" s="54">
        <f>0.8527*10568</f>
        <v>9011.3336</v>
      </c>
      <c r="V191" s="8">
        <f t="shared" si="221"/>
        <v>6733.12</v>
      </c>
      <c r="W191" s="12">
        <f t="shared" si="253"/>
        <v>6733.12</v>
      </c>
      <c r="X191" s="8">
        <f t="shared" si="222"/>
        <v>6733.12</v>
      </c>
      <c r="Y191" s="12">
        <f t="shared" si="254"/>
        <v>4404</v>
      </c>
      <c r="Z191" s="12">
        <f t="shared" si="223"/>
        <v>6396.464</v>
      </c>
      <c r="AA191" s="12">
        <f t="shared" si="224"/>
        <v>6059.808</v>
      </c>
      <c r="AB191" s="14">
        <v>0</v>
      </c>
      <c r="AC191" s="14">
        <v>0</v>
      </c>
      <c r="AD191" s="8">
        <f t="shared" si="225"/>
        <v>6733.12</v>
      </c>
      <c r="AE191" s="8">
        <f t="shared" si="226"/>
        <v>6733.12</v>
      </c>
      <c r="AF191" s="14">
        <v>0</v>
      </c>
      <c r="AG191" s="7">
        <f t="shared" si="256"/>
        <v>13096.665399999998</v>
      </c>
      <c r="AH191" s="12">
        <f t="shared" si="248"/>
        <v>7406.432000000001</v>
      </c>
      <c r="AI191" s="8">
        <f t="shared" si="249"/>
        <v>6733.12</v>
      </c>
      <c r="AJ191" s="14">
        <f t="shared" si="227"/>
        <v>9224.3744</v>
      </c>
      <c r="AK191" s="8">
        <f t="shared" si="228"/>
        <v>6733.12</v>
      </c>
      <c r="AL191" s="8">
        <f t="shared" si="229"/>
        <v>6733.12</v>
      </c>
      <c r="AM191" s="8">
        <f t="shared" si="230"/>
        <v>7406.432000000001</v>
      </c>
      <c r="AN191" s="8">
        <f t="shared" si="231"/>
        <v>6733.12</v>
      </c>
      <c r="AO191" s="8">
        <f t="shared" si="232"/>
        <v>3721.18</v>
      </c>
      <c r="AP191" s="8">
        <f t="shared" si="233"/>
        <v>6733.12</v>
      </c>
      <c r="AQ191" s="7">
        <f t="shared" si="234"/>
        <v>9354.760999999999</v>
      </c>
      <c r="AR191" s="17">
        <f t="shared" si="235"/>
        <v>3721.18</v>
      </c>
      <c r="AS191" s="8">
        <f t="shared" si="236"/>
        <v>6733.12</v>
      </c>
      <c r="AT191" s="12">
        <f t="shared" si="259"/>
        <v>5612</v>
      </c>
      <c r="AU191" s="8">
        <f t="shared" si="237"/>
        <v>4093.2980000000002</v>
      </c>
      <c r="AV191" s="8">
        <f t="shared" si="238"/>
        <v>6733.12</v>
      </c>
      <c r="AW191" s="7">
        <f t="shared" si="239"/>
        <v>6396.464</v>
      </c>
      <c r="AX191" s="8" t="str">
        <f t="shared" si="260"/>
        <v>5925.15 IPPS</v>
      </c>
      <c r="AY191" s="14">
        <v>0</v>
      </c>
      <c r="AZ191" s="14">
        <v>0</v>
      </c>
      <c r="BA191" s="14">
        <v>0</v>
      </c>
      <c r="BB191" s="12">
        <f t="shared" si="250"/>
        <v>6733.12</v>
      </c>
      <c r="BC191" s="12">
        <f t="shared" si="251"/>
        <v>7406.432000000001</v>
      </c>
      <c r="BD191" s="12">
        <f t="shared" si="252"/>
        <v>6059.808</v>
      </c>
      <c r="BE191" s="14">
        <v>0</v>
      </c>
      <c r="BF191" s="14">
        <v>0</v>
      </c>
      <c r="BG191" s="14">
        <v>0</v>
      </c>
      <c r="BH191" s="8">
        <f t="shared" si="240"/>
        <v>8079.744</v>
      </c>
      <c r="BI191" s="8">
        <f t="shared" si="241"/>
        <v>6733.12</v>
      </c>
      <c r="BJ191" s="8">
        <f t="shared" si="242"/>
        <v>6396.464</v>
      </c>
      <c r="BK191" s="8">
        <f t="shared" si="243"/>
        <v>6733.12</v>
      </c>
      <c r="BL191" s="58">
        <f>0.8527*9755</f>
        <v>8318.0885</v>
      </c>
      <c r="BM191" s="8">
        <f t="shared" si="244"/>
        <v>6733.12</v>
      </c>
      <c r="BN191" s="8">
        <f t="shared" si="245"/>
        <v>0</v>
      </c>
      <c r="BO191" s="8">
        <f t="shared" si="262"/>
        <v>13096.665399999998</v>
      </c>
    </row>
    <row r="192" spans="1:67" ht="19.5" customHeight="1">
      <c r="A192" s="10">
        <f t="shared" si="214"/>
        <v>191</v>
      </c>
      <c r="B192" s="6">
        <v>743</v>
      </c>
      <c r="C192" s="11" t="s">
        <v>378</v>
      </c>
      <c r="D192" s="30" t="s">
        <v>131</v>
      </c>
      <c r="E192" s="11" t="s">
        <v>372</v>
      </c>
      <c r="F192" s="46">
        <v>0</v>
      </c>
      <c r="G192" s="11" t="s">
        <v>378</v>
      </c>
      <c r="H192" s="48">
        <v>0</v>
      </c>
      <c r="I192" s="6">
        <v>0</v>
      </c>
      <c r="J192" s="8">
        <v>0</v>
      </c>
      <c r="K192" s="24" t="s">
        <v>382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55">
        <v>0</v>
      </c>
      <c r="V192" s="8">
        <v>0</v>
      </c>
      <c r="W192" s="8">
        <v>0</v>
      </c>
      <c r="X192" s="8">
        <v>0</v>
      </c>
      <c r="Y192" s="8">
        <v>0</v>
      </c>
      <c r="Z192" s="8">
        <v>0</v>
      </c>
      <c r="AA192" s="8">
        <v>0</v>
      </c>
      <c r="AB192" s="8">
        <v>0</v>
      </c>
      <c r="AC192" s="8">
        <v>0</v>
      </c>
      <c r="AD192" s="8">
        <v>0</v>
      </c>
      <c r="AE192" s="8">
        <v>0</v>
      </c>
      <c r="AF192" s="8">
        <v>0</v>
      </c>
      <c r="AG192" s="8">
        <v>0</v>
      </c>
      <c r="AH192" s="8">
        <v>0</v>
      </c>
      <c r="AI192" s="8">
        <v>0</v>
      </c>
      <c r="AJ192" s="8">
        <v>0</v>
      </c>
      <c r="AK192" s="8">
        <v>0</v>
      </c>
      <c r="AL192" s="8">
        <v>0</v>
      </c>
      <c r="AM192" s="8">
        <v>0</v>
      </c>
      <c r="AN192" s="8">
        <v>0</v>
      </c>
      <c r="AO192" s="8">
        <v>0</v>
      </c>
      <c r="AP192" s="8">
        <v>0</v>
      </c>
      <c r="AQ192" s="8">
        <v>0</v>
      </c>
      <c r="AR192" s="8">
        <v>0</v>
      </c>
      <c r="AS192" s="8">
        <v>0</v>
      </c>
      <c r="AT192" s="8">
        <v>0</v>
      </c>
      <c r="AU192" s="8">
        <v>0</v>
      </c>
      <c r="AV192" s="8">
        <v>0</v>
      </c>
      <c r="AW192" s="8">
        <v>0</v>
      </c>
      <c r="AX192" s="8">
        <v>0</v>
      </c>
      <c r="AY192" s="8">
        <v>0</v>
      </c>
      <c r="AZ192" s="8">
        <v>0</v>
      </c>
      <c r="BA192" s="8">
        <v>0</v>
      </c>
      <c r="BB192" s="12">
        <f t="shared" si="250"/>
        <v>0</v>
      </c>
      <c r="BC192" s="12">
        <f t="shared" si="251"/>
        <v>0</v>
      </c>
      <c r="BD192" s="12">
        <f t="shared" si="252"/>
        <v>0</v>
      </c>
      <c r="BE192" s="8">
        <v>0</v>
      </c>
      <c r="BF192" s="8">
        <v>0</v>
      </c>
      <c r="BG192" s="8">
        <v>0</v>
      </c>
      <c r="BH192" s="8">
        <v>0</v>
      </c>
      <c r="BI192" s="8">
        <v>0</v>
      </c>
      <c r="BJ192" s="8">
        <v>0</v>
      </c>
      <c r="BK192" s="8">
        <v>0</v>
      </c>
      <c r="BL192" s="8">
        <v>0</v>
      </c>
      <c r="BM192" s="8">
        <v>0</v>
      </c>
      <c r="BN192" s="3">
        <f>MIN(N192:BM192:BM192)</f>
        <v>0</v>
      </c>
      <c r="BO192" s="3">
        <f t="shared" si="262"/>
        <v>0</v>
      </c>
    </row>
    <row r="193" spans="1:67" ht="19.5" customHeight="1">
      <c r="A193" s="10">
        <f t="shared" si="214"/>
        <v>192</v>
      </c>
      <c r="B193" s="6">
        <v>216</v>
      </c>
      <c r="C193" s="11" t="s">
        <v>378</v>
      </c>
      <c r="D193" s="30" t="s">
        <v>313</v>
      </c>
      <c r="E193" s="11" t="s">
        <v>372</v>
      </c>
      <c r="F193" s="46">
        <v>0</v>
      </c>
      <c r="G193" s="11" t="s">
        <v>378</v>
      </c>
      <c r="H193" s="48">
        <v>0</v>
      </c>
      <c r="I193" s="6">
        <v>0</v>
      </c>
      <c r="J193" s="8">
        <v>0</v>
      </c>
      <c r="K193" s="24" t="s">
        <v>382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55">
        <v>0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0</v>
      </c>
      <c r="AD193" s="8">
        <v>0</v>
      </c>
      <c r="AE193" s="8">
        <v>0</v>
      </c>
      <c r="AF193" s="8">
        <v>0</v>
      </c>
      <c r="AG193" s="8">
        <v>0</v>
      </c>
      <c r="AH193" s="8">
        <v>0</v>
      </c>
      <c r="AI193" s="8">
        <v>0</v>
      </c>
      <c r="AJ193" s="8">
        <v>0</v>
      </c>
      <c r="AK193" s="8">
        <v>0</v>
      </c>
      <c r="AL193" s="8">
        <v>0</v>
      </c>
      <c r="AM193" s="8">
        <v>0</v>
      </c>
      <c r="AN193" s="8">
        <v>0</v>
      </c>
      <c r="AO193" s="8">
        <v>0</v>
      </c>
      <c r="AP193" s="8">
        <v>0</v>
      </c>
      <c r="AQ193" s="8">
        <v>0</v>
      </c>
      <c r="AR193" s="8">
        <v>0</v>
      </c>
      <c r="AS193" s="8">
        <v>0</v>
      </c>
      <c r="AT193" s="8">
        <v>0</v>
      </c>
      <c r="AU193" s="8">
        <v>0</v>
      </c>
      <c r="AV193" s="8">
        <v>0</v>
      </c>
      <c r="AW193" s="8">
        <v>0</v>
      </c>
      <c r="AX193" s="8">
        <v>0</v>
      </c>
      <c r="AY193" s="8">
        <v>0</v>
      </c>
      <c r="AZ193" s="8">
        <v>0</v>
      </c>
      <c r="BA193" s="8">
        <v>0</v>
      </c>
      <c r="BB193" s="12">
        <f t="shared" si="250"/>
        <v>0</v>
      </c>
      <c r="BC193" s="12">
        <f t="shared" si="251"/>
        <v>0</v>
      </c>
      <c r="BD193" s="12">
        <f t="shared" si="252"/>
        <v>0</v>
      </c>
      <c r="BE193" s="8">
        <v>0</v>
      </c>
      <c r="BF193" s="8">
        <v>0</v>
      </c>
      <c r="BG193" s="8">
        <v>0</v>
      </c>
      <c r="BH193" s="8">
        <v>0</v>
      </c>
      <c r="BI193" s="8">
        <v>0</v>
      </c>
      <c r="BJ193" s="8">
        <v>0</v>
      </c>
      <c r="BK193" s="8">
        <v>0</v>
      </c>
      <c r="BL193" s="8">
        <v>0</v>
      </c>
      <c r="BM193" s="8">
        <v>0</v>
      </c>
      <c r="BN193" s="3">
        <f>MIN(N193:BM193:BM193)</f>
        <v>0</v>
      </c>
      <c r="BO193" s="3">
        <f t="shared" si="262"/>
        <v>0</v>
      </c>
    </row>
    <row r="194" spans="1:67" ht="19.5" customHeight="1">
      <c r="A194" s="10">
        <f t="shared" si="214"/>
        <v>193</v>
      </c>
      <c r="B194" s="6">
        <v>473</v>
      </c>
      <c r="C194" s="11" t="s">
        <v>378</v>
      </c>
      <c r="D194" s="30" t="s">
        <v>132</v>
      </c>
      <c r="E194" s="11" t="s">
        <v>373</v>
      </c>
      <c r="F194" s="42">
        <f>108411.83+H194</f>
        <v>125250.85</v>
      </c>
      <c r="G194" s="11" t="s">
        <v>378</v>
      </c>
      <c r="H194" s="47">
        <f>5613.00666666667*3</f>
        <v>16839.02000000001</v>
      </c>
      <c r="I194" s="6">
        <v>2</v>
      </c>
      <c r="J194" s="8">
        <f aca="true" t="shared" si="263" ref="J194:J232">L194*1.3</f>
        <v>26105.144000000004</v>
      </c>
      <c r="K194" s="52" t="s">
        <v>382</v>
      </c>
      <c r="L194" s="14">
        <v>20080.88</v>
      </c>
      <c r="M194" s="14">
        <v>12317.1</v>
      </c>
      <c r="N194" s="12">
        <f>2.5124*10804.5</f>
        <v>27145.2258</v>
      </c>
      <c r="O194" s="14">
        <f aca="true" t="shared" si="264" ref="O194:O232">L194</f>
        <v>20080.88</v>
      </c>
      <c r="P194" s="8">
        <f>1.25*L194</f>
        <v>25101.100000000002</v>
      </c>
      <c r="Q194" s="14">
        <v>0</v>
      </c>
      <c r="R194" s="14">
        <v>0</v>
      </c>
      <c r="S194" s="9">
        <f aca="true" t="shared" si="265" ref="S194:S232">L194</f>
        <v>20080.88</v>
      </c>
      <c r="T194" s="7">
        <f>20561+H194</f>
        <v>37400.02000000001</v>
      </c>
      <c r="U194" s="54">
        <f>2.5351*10568</f>
        <v>26790.9368</v>
      </c>
      <c r="V194" s="9">
        <f aca="true" t="shared" si="266" ref="V194:V232">L194</f>
        <v>20080.88</v>
      </c>
      <c r="W194" s="12">
        <f aca="true" t="shared" si="267" ref="W194:W232">L194</f>
        <v>20080.88</v>
      </c>
      <c r="X194" s="14">
        <f aca="true" t="shared" si="268" ref="X194:X232">L194</f>
        <v>20080.88</v>
      </c>
      <c r="Y194" s="12">
        <f>2202*I194+H194*0.373</f>
        <v>10684.954460000004</v>
      </c>
      <c r="Z194" s="12">
        <f aca="true" t="shared" si="269" ref="Z194:Z232">L194*0.95</f>
        <v>19076.836</v>
      </c>
      <c r="AA194" s="12">
        <f aca="true" t="shared" si="270" ref="AA194:AA207">L194*0.9</f>
        <v>18072.792</v>
      </c>
      <c r="AB194" s="14">
        <v>0</v>
      </c>
      <c r="AC194" s="14">
        <v>0</v>
      </c>
      <c r="AD194" s="14">
        <f aca="true" t="shared" si="271" ref="AD194:AD232">L194</f>
        <v>20080.88</v>
      </c>
      <c r="AE194" s="14">
        <f aca="true" t="shared" si="272" ref="AE194:AE232">L194</f>
        <v>20080.88</v>
      </c>
      <c r="AF194" s="14">
        <v>0</v>
      </c>
      <c r="AG194" s="7">
        <f aca="true" t="shared" si="273" ref="AG194:AG207">F194*0.7+H194*0.7</f>
        <v>99462.90900000001</v>
      </c>
      <c r="AH194" s="12">
        <f aca="true" t="shared" si="274" ref="AH194:AH232">L194*1.1</f>
        <v>22088.968000000004</v>
      </c>
      <c r="AI194" s="8">
        <f aca="true" t="shared" si="275" ref="AI194:AI232">L194</f>
        <v>20080.88</v>
      </c>
      <c r="AJ194" s="14">
        <f aca="true" t="shared" si="276" ref="AJ194:AJ207">L194*1.37</f>
        <v>27510.805600000003</v>
      </c>
      <c r="AK194" s="14">
        <f aca="true" t="shared" si="277" ref="AK194:AK232">L194</f>
        <v>20080.88</v>
      </c>
      <c r="AL194" s="14">
        <f aca="true" t="shared" si="278" ref="AL194:AL232">L194</f>
        <v>20080.88</v>
      </c>
      <c r="AM194" s="14">
        <f>L194*1.1</f>
        <v>22088.968000000004</v>
      </c>
      <c r="AN194" s="14">
        <f>L194</f>
        <v>20080.88</v>
      </c>
      <c r="AO194" s="14">
        <f>M194</f>
        <v>12317.1</v>
      </c>
      <c r="AP194" s="14">
        <f aca="true" t="shared" si="279" ref="AP194:AP232">L194</f>
        <v>20080.88</v>
      </c>
      <c r="AQ194" s="7">
        <f aca="true" t="shared" si="280" ref="AQ194:AQ207">F194*0.5+H194*0.5</f>
        <v>71044.93500000001</v>
      </c>
      <c r="AR194" s="14">
        <f aca="true" t="shared" si="281" ref="AR194:AR207">M194</f>
        <v>12317.1</v>
      </c>
      <c r="AS194" s="14">
        <f aca="true" t="shared" si="282" ref="AS194:AS232">L194</f>
        <v>20080.88</v>
      </c>
      <c r="AT194" s="12">
        <f>L194*1.2</f>
        <v>24097.056</v>
      </c>
      <c r="AU194" s="14">
        <f aca="true" t="shared" si="283" ref="AU194:AU223">M194*1.1</f>
        <v>13548.810000000001</v>
      </c>
      <c r="AV194" s="14">
        <f aca="true" t="shared" si="284" ref="AV194:AV232">L194</f>
        <v>20080.88</v>
      </c>
      <c r="AW194" s="7">
        <f aca="true" t="shared" si="285" ref="AW194:AW232">L194*0.95</f>
        <v>19076.836</v>
      </c>
      <c r="AX194" s="7">
        <f aca="true" t="shared" si="286" ref="AX194:AX201">L194*0.88</f>
        <v>17671.1744</v>
      </c>
      <c r="AY194" s="14">
        <v>0</v>
      </c>
      <c r="AZ194" s="14">
        <v>0</v>
      </c>
      <c r="BA194" s="14">
        <v>0</v>
      </c>
      <c r="BB194" s="12">
        <f t="shared" si="250"/>
        <v>20080.88</v>
      </c>
      <c r="BC194" s="12">
        <f t="shared" si="251"/>
        <v>22088.968000000004</v>
      </c>
      <c r="BD194" s="12">
        <f t="shared" si="252"/>
        <v>18072.792</v>
      </c>
      <c r="BE194" s="14">
        <v>0</v>
      </c>
      <c r="BF194" s="14">
        <v>0</v>
      </c>
      <c r="BG194" s="14">
        <v>0</v>
      </c>
      <c r="BH194" s="14">
        <f aca="true" t="shared" si="287" ref="BH194:BH232">L194*1.2</f>
        <v>24097.056</v>
      </c>
      <c r="BI194" s="14">
        <f aca="true" t="shared" si="288" ref="BI194:BI232">L194</f>
        <v>20080.88</v>
      </c>
      <c r="BJ194" s="14">
        <f aca="true" t="shared" si="289" ref="BJ194:BJ232">L194*0.95</f>
        <v>19076.836</v>
      </c>
      <c r="BK194" s="14">
        <f aca="true" t="shared" si="290" ref="BK194:BK232">L194</f>
        <v>20080.88</v>
      </c>
      <c r="BL194" s="12">
        <f>2.5351*9755+5613.00666666667*1.02</f>
        <v>30455.1673</v>
      </c>
      <c r="BM194" s="14">
        <f aca="true" t="shared" si="291" ref="BM194:BM232">L194</f>
        <v>20080.88</v>
      </c>
      <c r="BN194" s="14">
        <f aca="true" t="shared" si="292" ref="BN194:BN217">MIN(N194:BM194)</f>
        <v>0</v>
      </c>
      <c r="BO194" s="14">
        <f t="shared" si="262"/>
        <v>99462.90900000001</v>
      </c>
    </row>
    <row r="195" spans="1:67" ht="19.5" customHeight="1">
      <c r="A195" s="10">
        <f t="shared" si="214"/>
        <v>194</v>
      </c>
      <c r="B195" s="6">
        <v>470</v>
      </c>
      <c r="C195" s="11" t="s">
        <v>378</v>
      </c>
      <c r="D195" s="30" t="s">
        <v>133</v>
      </c>
      <c r="E195" s="11" t="s">
        <v>373</v>
      </c>
      <c r="F195" s="42">
        <f>108411.83+H195</f>
        <v>125267.48000000001</v>
      </c>
      <c r="G195" s="11" t="s">
        <v>378</v>
      </c>
      <c r="H195" s="47">
        <f>5618.55*3</f>
        <v>16855.65</v>
      </c>
      <c r="I195" s="6">
        <v>2</v>
      </c>
      <c r="J195" s="8">
        <f t="shared" si="263"/>
        <v>19580.951</v>
      </c>
      <c r="K195" s="52" t="s">
        <v>382</v>
      </c>
      <c r="L195" s="14">
        <v>15062.27</v>
      </c>
      <c r="M195" s="14">
        <v>16764.66</v>
      </c>
      <c r="N195" s="12">
        <f>1.9684*10804.5</f>
        <v>21267.5778</v>
      </c>
      <c r="O195" s="14">
        <f t="shared" si="264"/>
        <v>15062.27</v>
      </c>
      <c r="P195" s="8">
        <f>1.25*L195</f>
        <v>18827.8375</v>
      </c>
      <c r="Q195" s="14">
        <v>0</v>
      </c>
      <c r="R195" s="14">
        <v>0</v>
      </c>
      <c r="S195" s="9">
        <f t="shared" si="265"/>
        <v>15062.27</v>
      </c>
      <c r="T195" s="14">
        <f>15096+17260</f>
        <v>32356</v>
      </c>
      <c r="U195" s="54">
        <f>1.9119*10568</f>
        <v>20204.959199999998</v>
      </c>
      <c r="V195" s="9">
        <f t="shared" si="266"/>
        <v>15062.27</v>
      </c>
      <c r="W195" s="12">
        <f t="shared" si="267"/>
        <v>15062.27</v>
      </c>
      <c r="X195" s="14">
        <f t="shared" si="268"/>
        <v>15062.27</v>
      </c>
      <c r="Y195" s="12">
        <f>2202*I195+H195*0.373</f>
        <v>10691.15745</v>
      </c>
      <c r="Z195" s="12">
        <f t="shared" si="269"/>
        <v>14309.1565</v>
      </c>
      <c r="AA195" s="12">
        <f t="shared" si="270"/>
        <v>13556.043000000001</v>
      </c>
      <c r="AB195" s="14">
        <v>0</v>
      </c>
      <c r="AC195" s="14">
        <v>0</v>
      </c>
      <c r="AD195" s="14">
        <f t="shared" si="271"/>
        <v>15062.27</v>
      </c>
      <c r="AE195" s="14">
        <f t="shared" si="272"/>
        <v>15062.27</v>
      </c>
      <c r="AF195" s="14">
        <v>0</v>
      </c>
      <c r="AG195" s="7">
        <f t="shared" si="273"/>
        <v>99486.191</v>
      </c>
      <c r="AH195" s="12">
        <f t="shared" si="274"/>
        <v>16568.497000000003</v>
      </c>
      <c r="AI195" s="8">
        <f t="shared" si="275"/>
        <v>15062.27</v>
      </c>
      <c r="AJ195" s="14">
        <f t="shared" si="276"/>
        <v>20635.309900000004</v>
      </c>
      <c r="AK195" s="14">
        <f t="shared" si="277"/>
        <v>15062.27</v>
      </c>
      <c r="AL195" s="14">
        <f t="shared" si="278"/>
        <v>15062.27</v>
      </c>
      <c r="AM195" s="7">
        <v>18324</v>
      </c>
      <c r="AN195" s="7">
        <v>18324</v>
      </c>
      <c r="AO195" s="14">
        <f aca="true" t="shared" si="293" ref="AO195:AO207">M195</f>
        <v>16764.66</v>
      </c>
      <c r="AP195" s="14">
        <f t="shared" si="279"/>
        <v>15062.27</v>
      </c>
      <c r="AQ195" s="7">
        <f t="shared" si="280"/>
        <v>71061.565</v>
      </c>
      <c r="AR195" s="14">
        <f t="shared" si="281"/>
        <v>16764.66</v>
      </c>
      <c r="AS195" s="14">
        <f t="shared" si="282"/>
        <v>15062.27</v>
      </c>
      <c r="AT195" s="12">
        <f>L195*1.2</f>
        <v>18074.724</v>
      </c>
      <c r="AU195" s="14">
        <f t="shared" si="283"/>
        <v>18441.126</v>
      </c>
      <c r="AV195" s="14">
        <f t="shared" si="284"/>
        <v>15062.27</v>
      </c>
      <c r="AW195" s="7">
        <f t="shared" si="285"/>
        <v>14309.1565</v>
      </c>
      <c r="AX195" s="7">
        <f t="shared" si="286"/>
        <v>13254.7976</v>
      </c>
      <c r="AY195" s="14">
        <v>0</v>
      </c>
      <c r="AZ195" s="14">
        <v>0</v>
      </c>
      <c r="BA195" s="14">
        <v>0</v>
      </c>
      <c r="BB195" s="12">
        <f t="shared" si="250"/>
        <v>15062.27</v>
      </c>
      <c r="BC195" s="12">
        <f t="shared" si="251"/>
        <v>16568.497000000003</v>
      </c>
      <c r="BD195" s="12">
        <f t="shared" si="252"/>
        <v>13556.043000000001</v>
      </c>
      <c r="BE195" s="14">
        <v>0</v>
      </c>
      <c r="BF195" s="14">
        <v>0</v>
      </c>
      <c r="BG195" s="14">
        <v>0</v>
      </c>
      <c r="BH195" s="14">
        <f t="shared" si="287"/>
        <v>18074.724</v>
      </c>
      <c r="BI195" s="14">
        <f t="shared" si="288"/>
        <v>15062.27</v>
      </c>
      <c r="BJ195" s="14">
        <f t="shared" si="289"/>
        <v>14309.1565</v>
      </c>
      <c r="BK195" s="14">
        <f t="shared" si="290"/>
        <v>15062.27</v>
      </c>
      <c r="BL195" s="12">
        <f>1.9119*9755+5618.55*1.02</f>
        <v>24381.5055</v>
      </c>
      <c r="BM195" s="14">
        <f t="shared" si="291"/>
        <v>15062.27</v>
      </c>
      <c r="BN195" s="14">
        <f t="shared" si="292"/>
        <v>0</v>
      </c>
      <c r="BO195" s="14">
        <f t="shared" si="262"/>
        <v>99486.191</v>
      </c>
    </row>
    <row r="196" spans="1:67" ht="19.5" customHeight="1">
      <c r="A196" s="10">
        <f t="shared" si="214"/>
        <v>195</v>
      </c>
      <c r="B196" s="6">
        <v>460</v>
      </c>
      <c r="C196" s="11" t="s">
        <v>378</v>
      </c>
      <c r="D196" s="30" t="s">
        <v>94</v>
      </c>
      <c r="E196" s="11" t="s">
        <v>373</v>
      </c>
      <c r="F196" s="42">
        <f>108411.83+H196</f>
        <v>146819.5470786518</v>
      </c>
      <c r="G196" s="11" t="s">
        <v>378</v>
      </c>
      <c r="H196" s="47">
        <f>12802.5723595506*3</f>
        <v>38407.7170786518</v>
      </c>
      <c r="I196" s="6">
        <v>3</v>
      </c>
      <c r="J196" s="8">
        <f t="shared" si="263"/>
        <v>40293.76</v>
      </c>
      <c r="K196" s="52" t="s">
        <v>382</v>
      </c>
      <c r="L196" s="14">
        <v>30995.2</v>
      </c>
      <c r="M196" s="14">
        <v>16339.7</v>
      </c>
      <c r="N196" s="12">
        <f>3.9604*10804.5</f>
        <v>42790.1418</v>
      </c>
      <c r="O196" s="14">
        <f t="shared" si="264"/>
        <v>30995.2</v>
      </c>
      <c r="P196" s="14">
        <f>F196*0.5</f>
        <v>73409.7735393259</v>
      </c>
      <c r="Q196" s="14">
        <v>0</v>
      </c>
      <c r="R196" s="14">
        <v>0</v>
      </c>
      <c r="S196" s="9">
        <f t="shared" si="265"/>
        <v>30995.2</v>
      </c>
      <c r="T196" s="14">
        <f>20561+25701</f>
        <v>46262</v>
      </c>
      <c r="U196" s="54">
        <f>3.766*10568</f>
        <v>39799.088</v>
      </c>
      <c r="V196" s="9">
        <f t="shared" si="266"/>
        <v>30995.2</v>
      </c>
      <c r="W196" s="12">
        <f t="shared" si="267"/>
        <v>30995.2</v>
      </c>
      <c r="X196" s="14">
        <f t="shared" si="268"/>
        <v>30995.2</v>
      </c>
      <c r="Y196" s="12">
        <f>2202*I196+H196*0.373</f>
        <v>20932.078470337125</v>
      </c>
      <c r="Z196" s="12">
        <f t="shared" si="269"/>
        <v>29445.44</v>
      </c>
      <c r="AA196" s="12">
        <f t="shared" si="270"/>
        <v>27895.68</v>
      </c>
      <c r="AB196" s="14">
        <v>0</v>
      </c>
      <c r="AC196" s="14">
        <v>0</v>
      </c>
      <c r="AD196" s="14">
        <f t="shared" si="271"/>
        <v>30995.2</v>
      </c>
      <c r="AE196" s="14">
        <f t="shared" si="272"/>
        <v>30995.2</v>
      </c>
      <c r="AF196" s="14">
        <v>0</v>
      </c>
      <c r="AG196" s="7">
        <f t="shared" si="273"/>
        <v>129659.08491011253</v>
      </c>
      <c r="AH196" s="12">
        <f t="shared" si="274"/>
        <v>34094.72</v>
      </c>
      <c r="AI196" s="8">
        <f t="shared" si="275"/>
        <v>30995.2</v>
      </c>
      <c r="AJ196" s="14">
        <f t="shared" si="276"/>
        <v>42463.424000000006</v>
      </c>
      <c r="AK196" s="14">
        <f t="shared" si="277"/>
        <v>30995.2</v>
      </c>
      <c r="AL196" s="14">
        <f t="shared" si="278"/>
        <v>30995.2</v>
      </c>
      <c r="AM196" s="14">
        <f>L196*1.1</f>
        <v>34094.72</v>
      </c>
      <c r="AN196" s="14">
        <f>L196</f>
        <v>30995.2</v>
      </c>
      <c r="AO196" s="14">
        <f t="shared" si="293"/>
        <v>16339.7</v>
      </c>
      <c r="AP196" s="14">
        <f t="shared" si="279"/>
        <v>30995.2</v>
      </c>
      <c r="AQ196" s="7">
        <f t="shared" si="280"/>
        <v>92613.6320786518</v>
      </c>
      <c r="AR196" s="14">
        <f t="shared" si="281"/>
        <v>16339.7</v>
      </c>
      <c r="AS196" s="14">
        <f t="shared" si="282"/>
        <v>30995.2</v>
      </c>
      <c r="AT196" s="12">
        <f>2806*I196+H196*0.4</f>
        <v>23781.08683146072</v>
      </c>
      <c r="AU196" s="14">
        <f t="shared" si="283"/>
        <v>17973.670000000002</v>
      </c>
      <c r="AV196" s="14">
        <f t="shared" si="284"/>
        <v>30995.2</v>
      </c>
      <c r="AW196" s="7">
        <f t="shared" si="285"/>
        <v>29445.44</v>
      </c>
      <c r="AX196" s="7">
        <f t="shared" si="286"/>
        <v>27275.776</v>
      </c>
      <c r="AY196" s="14">
        <v>0</v>
      </c>
      <c r="AZ196" s="14">
        <v>0</v>
      </c>
      <c r="BA196" s="14">
        <v>0</v>
      </c>
      <c r="BB196" s="12">
        <f t="shared" si="250"/>
        <v>30995.2</v>
      </c>
      <c r="BC196" s="12">
        <f t="shared" si="251"/>
        <v>34094.72</v>
      </c>
      <c r="BD196" s="12">
        <f t="shared" si="252"/>
        <v>27895.68</v>
      </c>
      <c r="BE196" s="14">
        <v>0</v>
      </c>
      <c r="BF196" s="14">
        <v>0</v>
      </c>
      <c r="BG196" s="14">
        <v>0</v>
      </c>
      <c r="BH196" s="14">
        <f t="shared" si="287"/>
        <v>37194.24</v>
      </c>
      <c r="BI196" s="14">
        <f t="shared" si="288"/>
        <v>30995.2</v>
      </c>
      <c r="BJ196" s="14">
        <f t="shared" si="289"/>
        <v>29445.44</v>
      </c>
      <c r="BK196" s="14">
        <f t="shared" si="290"/>
        <v>30995.2</v>
      </c>
      <c r="BL196" s="12">
        <f>3.766*9755+12802.5723595506*1.02</f>
        <v>49795.953806741614</v>
      </c>
      <c r="BM196" s="14">
        <f t="shared" si="291"/>
        <v>30995.2</v>
      </c>
      <c r="BN196" s="14">
        <f t="shared" si="292"/>
        <v>0</v>
      </c>
      <c r="BO196" s="14">
        <f t="shared" si="262"/>
        <v>129659.08491011253</v>
      </c>
    </row>
    <row r="197" spans="1:67" ht="19.5" customHeight="1">
      <c r="A197" s="10">
        <f t="shared" si="214"/>
        <v>196</v>
      </c>
      <c r="B197" s="10">
        <v>519</v>
      </c>
      <c r="C197" s="11" t="s">
        <v>378</v>
      </c>
      <c r="D197" s="30" t="s">
        <v>134</v>
      </c>
      <c r="E197" s="11" t="s">
        <v>373</v>
      </c>
      <c r="F197" s="43">
        <f>78833.3157142857+H197</f>
        <v>82506.7707142857</v>
      </c>
      <c r="G197" s="11" t="s">
        <v>378</v>
      </c>
      <c r="H197" s="47">
        <f>1224.485*3</f>
        <v>3673.455</v>
      </c>
      <c r="I197" s="6">
        <v>3</v>
      </c>
      <c r="J197" s="8">
        <f t="shared" si="263"/>
        <v>20169.89</v>
      </c>
      <c r="K197" s="52" t="s">
        <v>382</v>
      </c>
      <c r="L197" s="14">
        <v>15515.3</v>
      </c>
      <c r="M197" s="14">
        <v>35128.73</v>
      </c>
      <c r="N197" s="12">
        <f>1.9087*10804.5</f>
        <v>20622.54915</v>
      </c>
      <c r="O197" s="14">
        <f t="shared" si="264"/>
        <v>15515.3</v>
      </c>
      <c r="P197" s="8">
        <f>1.25*L197</f>
        <v>19394.125</v>
      </c>
      <c r="Q197" s="14">
        <v>0</v>
      </c>
      <c r="R197" s="14">
        <v>0</v>
      </c>
      <c r="S197" s="9">
        <f t="shared" si="265"/>
        <v>15515.3</v>
      </c>
      <c r="T197" s="14">
        <f>12445+H197</f>
        <v>16118.455</v>
      </c>
      <c r="U197" s="54">
        <f>1.9993*10568</f>
        <v>21128.6024</v>
      </c>
      <c r="V197" s="9">
        <f t="shared" si="266"/>
        <v>15515.3</v>
      </c>
      <c r="W197" s="12">
        <f t="shared" si="267"/>
        <v>15515.3</v>
      </c>
      <c r="X197" s="14">
        <f t="shared" si="268"/>
        <v>15515.3</v>
      </c>
      <c r="Y197" s="12">
        <f>2202*I197+H197*0.373</f>
        <v>7976.198715</v>
      </c>
      <c r="Z197" s="12">
        <f t="shared" si="269"/>
        <v>14739.534999999998</v>
      </c>
      <c r="AA197" s="12">
        <f t="shared" si="270"/>
        <v>13963.77</v>
      </c>
      <c r="AB197" s="14">
        <v>0</v>
      </c>
      <c r="AC197" s="14">
        <v>0</v>
      </c>
      <c r="AD197" s="14">
        <f t="shared" si="271"/>
        <v>15515.3</v>
      </c>
      <c r="AE197" s="14">
        <f t="shared" si="272"/>
        <v>15515.3</v>
      </c>
      <c r="AF197" s="14">
        <v>0</v>
      </c>
      <c r="AG197" s="7">
        <f t="shared" si="273"/>
        <v>60326.15799999998</v>
      </c>
      <c r="AH197" s="12">
        <f t="shared" si="274"/>
        <v>17066.83</v>
      </c>
      <c r="AI197" s="8">
        <f t="shared" si="275"/>
        <v>15515.3</v>
      </c>
      <c r="AJ197" s="14">
        <f t="shared" si="276"/>
        <v>21255.961</v>
      </c>
      <c r="AK197" s="14">
        <f t="shared" si="277"/>
        <v>15515.3</v>
      </c>
      <c r="AL197" s="14">
        <f t="shared" si="278"/>
        <v>15515.3</v>
      </c>
      <c r="AM197" s="14">
        <f>L197*1.1</f>
        <v>17066.83</v>
      </c>
      <c r="AN197" s="14">
        <f>L197</f>
        <v>15515.3</v>
      </c>
      <c r="AO197" s="14">
        <f t="shared" si="293"/>
        <v>35128.73</v>
      </c>
      <c r="AP197" s="14">
        <f t="shared" si="279"/>
        <v>15515.3</v>
      </c>
      <c r="AQ197" s="7">
        <f t="shared" si="280"/>
        <v>43090.11285714285</v>
      </c>
      <c r="AR197" s="14">
        <f t="shared" si="281"/>
        <v>35128.73</v>
      </c>
      <c r="AS197" s="14">
        <f t="shared" si="282"/>
        <v>15515.3</v>
      </c>
      <c r="AT197" s="12">
        <f>2806*I197+H197*0.4</f>
        <v>9887.382</v>
      </c>
      <c r="AU197" s="14">
        <f t="shared" si="283"/>
        <v>38641.60300000001</v>
      </c>
      <c r="AV197" s="14">
        <f t="shared" si="284"/>
        <v>15515.3</v>
      </c>
      <c r="AW197" s="7">
        <f t="shared" si="285"/>
        <v>14739.534999999998</v>
      </c>
      <c r="AX197" s="7">
        <f t="shared" si="286"/>
        <v>13653.464</v>
      </c>
      <c r="AY197" s="14">
        <v>0</v>
      </c>
      <c r="AZ197" s="14">
        <v>0</v>
      </c>
      <c r="BA197" s="14">
        <v>0</v>
      </c>
      <c r="BB197" s="12">
        <f t="shared" si="250"/>
        <v>15515.3</v>
      </c>
      <c r="BC197" s="12">
        <f t="shared" si="251"/>
        <v>17066.83</v>
      </c>
      <c r="BD197" s="12">
        <f t="shared" si="252"/>
        <v>13963.77</v>
      </c>
      <c r="BE197" s="14">
        <v>0</v>
      </c>
      <c r="BF197" s="14">
        <v>0</v>
      </c>
      <c r="BG197" s="14">
        <v>0</v>
      </c>
      <c r="BH197" s="14">
        <f t="shared" si="287"/>
        <v>18618.359999999997</v>
      </c>
      <c r="BI197" s="14">
        <f t="shared" si="288"/>
        <v>15515.3</v>
      </c>
      <c r="BJ197" s="14">
        <f t="shared" si="289"/>
        <v>14739.534999999998</v>
      </c>
      <c r="BK197" s="14">
        <f t="shared" si="290"/>
        <v>15515.3</v>
      </c>
      <c r="BL197" s="12">
        <f>1.9993*9755+1224.485*1.02</f>
        <v>20752.1462</v>
      </c>
      <c r="BM197" s="14">
        <f t="shared" si="291"/>
        <v>15515.3</v>
      </c>
      <c r="BN197" s="14">
        <f t="shared" si="292"/>
        <v>0</v>
      </c>
      <c r="BO197" s="14">
        <f t="shared" si="262"/>
        <v>60326.15799999998</v>
      </c>
    </row>
    <row r="198" spans="1:67" ht="19.5" customHeight="1">
      <c r="A198" s="10">
        <f t="shared" si="214"/>
        <v>197</v>
      </c>
      <c r="B198" s="10">
        <v>520</v>
      </c>
      <c r="C198" s="11" t="s">
        <v>378</v>
      </c>
      <c r="D198" s="30" t="s">
        <v>137</v>
      </c>
      <c r="E198" s="11" t="s">
        <v>373</v>
      </c>
      <c r="F198" s="42">
        <f>59891.9408695652+H198</f>
        <v>61999.4408695652</v>
      </c>
      <c r="G198" s="11" t="s">
        <v>378</v>
      </c>
      <c r="H198" s="47">
        <f>702.5*3</f>
        <v>2107.5</v>
      </c>
      <c r="I198" s="6">
        <v>2</v>
      </c>
      <c r="J198" s="8">
        <f t="shared" si="263"/>
        <v>14664.624</v>
      </c>
      <c r="K198" s="52" t="s">
        <v>382</v>
      </c>
      <c r="L198" s="14">
        <v>11280.48</v>
      </c>
      <c r="M198" s="14">
        <v>3884.85</v>
      </c>
      <c r="N198" s="12">
        <f>1.338*10804.5</f>
        <v>14456.421</v>
      </c>
      <c r="O198" s="14">
        <f t="shared" si="264"/>
        <v>11280.48</v>
      </c>
      <c r="P198" s="8">
        <f>1.25*L198</f>
        <v>14100.599999999999</v>
      </c>
      <c r="Q198" s="14">
        <v>0</v>
      </c>
      <c r="R198" s="14">
        <v>0</v>
      </c>
      <c r="S198" s="9">
        <f t="shared" si="265"/>
        <v>11280.48</v>
      </c>
      <c r="T198" s="14">
        <v>20561</v>
      </c>
      <c r="U198" s="54">
        <f>1.4798*10568</f>
        <v>15638.5264</v>
      </c>
      <c r="V198" s="9">
        <f t="shared" si="266"/>
        <v>11280.48</v>
      </c>
      <c r="W198" s="12">
        <f t="shared" si="267"/>
        <v>11280.48</v>
      </c>
      <c r="X198" s="14">
        <f t="shared" si="268"/>
        <v>11280.48</v>
      </c>
      <c r="Y198" s="12">
        <f>2202*I198</f>
        <v>4404</v>
      </c>
      <c r="Z198" s="12">
        <f t="shared" si="269"/>
        <v>10716.455999999998</v>
      </c>
      <c r="AA198" s="12">
        <f t="shared" si="270"/>
        <v>10152.432</v>
      </c>
      <c r="AB198" s="14">
        <v>0</v>
      </c>
      <c r="AC198" s="14">
        <v>0</v>
      </c>
      <c r="AD198" s="14">
        <f t="shared" si="271"/>
        <v>11280.48</v>
      </c>
      <c r="AE198" s="14">
        <f t="shared" si="272"/>
        <v>11280.48</v>
      </c>
      <c r="AF198" s="14">
        <v>0</v>
      </c>
      <c r="AG198" s="7">
        <f t="shared" si="273"/>
        <v>44874.85860869564</v>
      </c>
      <c r="AH198" s="12">
        <f t="shared" si="274"/>
        <v>12408.528</v>
      </c>
      <c r="AI198" s="8">
        <f t="shared" si="275"/>
        <v>11280.48</v>
      </c>
      <c r="AJ198" s="14">
        <f t="shared" si="276"/>
        <v>15454.2576</v>
      </c>
      <c r="AK198" s="14">
        <f t="shared" si="277"/>
        <v>11280.48</v>
      </c>
      <c r="AL198" s="14">
        <f t="shared" si="278"/>
        <v>11280.48</v>
      </c>
      <c r="AM198" s="14">
        <f>L198*1.1</f>
        <v>12408.528</v>
      </c>
      <c r="AN198" s="14">
        <f>L198</f>
        <v>11280.48</v>
      </c>
      <c r="AO198" s="14">
        <f t="shared" si="293"/>
        <v>3884.85</v>
      </c>
      <c r="AP198" s="14">
        <f t="shared" si="279"/>
        <v>11280.48</v>
      </c>
      <c r="AQ198" s="7">
        <f t="shared" si="280"/>
        <v>32053.4704347826</v>
      </c>
      <c r="AR198" s="14">
        <f t="shared" si="281"/>
        <v>3884.85</v>
      </c>
      <c r="AS198" s="14">
        <f t="shared" si="282"/>
        <v>11280.48</v>
      </c>
      <c r="AT198" s="12">
        <f>2806*I198+H198*0.4</f>
        <v>6455</v>
      </c>
      <c r="AU198" s="14">
        <f t="shared" si="283"/>
        <v>4273.335</v>
      </c>
      <c r="AV198" s="14">
        <f t="shared" si="284"/>
        <v>11280.48</v>
      </c>
      <c r="AW198" s="7">
        <f t="shared" si="285"/>
        <v>10716.455999999998</v>
      </c>
      <c r="AX198" s="7">
        <f t="shared" si="286"/>
        <v>9926.8224</v>
      </c>
      <c r="AY198" s="14">
        <v>0</v>
      </c>
      <c r="AZ198" s="14">
        <v>0</v>
      </c>
      <c r="BA198" s="14">
        <v>0</v>
      </c>
      <c r="BB198" s="12">
        <f t="shared" si="250"/>
        <v>11280.48</v>
      </c>
      <c r="BC198" s="12">
        <f t="shared" si="251"/>
        <v>12408.528</v>
      </c>
      <c r="BD198" s="12">
        <f t="shared" si="252"/>
        <v>10152.432</v>
      </c>
      <c r="BE198" s="14">
        <v>0</v>
      </c>
      <c r="BF198" s="14">
        <v>0</v>
      </c>
      <c r="BG198" s="14">
        <v>0</v>
      </c>
      <c r="BH198" s="14">
        <f t="shared" si="287"/>
        <v>13536.576</v>
      </c>
      <c r="BI198" s="14">
        <f t="shared" si="288"/>
        <v>11280.48</v>
      </c>
      <c r="BJ198" s="14">
        <f t="shared" si="289"/>
        <v>10716.455999999998</v>
      </c>
      <c r="BK198" s="14">
        <f t="shared" si="290"/>
        <v>11280.48</v>
      </c>
      <c r="BL198" s="12">
        <f>1.4798*9755</f>
        <v>14435.449</v>
      </c>
      <c r="BM198" s="14">
        <f t="shared" si="291"/>
        <v>11280.48</v>
      </c>
      <c r="BN198" s="14">
        <f t="shared" si="292"/>
        <v>0</v>
      </c>
      <c r="BO198" s="14">
        <f t="shared" si="262"/>
        <v>44874.85860869564</v>
      </c>
    </row>
    <row r="199" spans="1:67" ht="19.5" customHeight="1">
      <c r="A199" s="10">
        <f t="shared" si="214"/>
        <v>198</v>
      </c>
      <c r="B199" s="10">
        <v>472</v>
      </c>
      <c r="C199" s="11" t="s">
        <v>378</v>
      </c>
      <c r="D199" s="30" t="s">
        <v>138</v>
      </c>
      <c r="E199" s="11" t="s">
        <v>373</v>
      </c>
      <c r="F199" s="42">
        <f>115607.527272727+H199</f>
        <v>137315.28191558417</v>
      </c>
      <c r="G199" s="11" t="s">
        <v>378</v>
      </c>
      <c r="H199" s="47">
        <f>7235.91821428572*3</f>
        <v>21707.75464285716</v>
      </c>
      <c r="I199" s="6">
        <v>3</v>
      </c>
      <c r="J199" s="8">
        <f t="shared" si="263"/>
        <v>31332.262000000002</v>
      </c>
      <c r="K199" s="52" t="s">
        <v>382</v>
      </c>
      <c r="L199" s="14">
        <v>24101.74</v>
      </c>
      <c r="M199" s="14">
        <v>12546.24</v>
      </c>
      <c r="N199" s="12">
        <f>0.8472*10804.5</f>
        <v>9153.5724</v>
      </c>
      <c r="O199" s="14">
        <f t="shared" si="264"/>
        <v>24101.74</v>
      </c>
      <c r="P199" s="8">
        <f>1.25*L199</f>
        <v>30127.175000000003</v>
      </c>
      <c r="Q199" s="14">
        <v>0</v>
      </c>
      <c r="R199" s="14">
        <v>0</v>
      </c>
      <c r="S199" s="9">
        <f t="shared" si="265"/>
        <v>24101.74</v>
      </c>
      <c r="T199" s="14">
        <f>20561+H199</f>
        <v>42268.75464285716</v>
      </c>
      <c r="U199" s="54">
        <f>3.071*10568</f>
        <v>32454.328</v>
      </c>
      <c r="V199" s="9">
        <f t="shared" si="266"/>
        <v>24101.74</v>
      </c>
      <c r="W199" s="12">
        <f t="shared" si="267"/>
        <v>24101.74</v>
      </c>
      <c r="X199" s="14">
        <f t="shared" si="268"/>
        <v>24101.74</v>
      </c>
      <c r="Y199" s="12">
        <f aca="true" t="shared" si="294" ref="Y199:Y207">2202*I199+H199*0.373</f>
        <v>14702.99248178572</v>
      </c>
      <c r="Z199" s="12">
        <f t="shared" si="269"/>
        <v>22896.653000000002</v>
      </c>
      <c r="AA199" s="12">
        <f t="shared" si="270"/>
        <v>21691.566000000003</v>
      </c>
      <c r="AB199" s="14">
        <v>0</v>
      </c>
      <c r="AC199" s="14">
        <v>0</v>
      </c>
      <c r="AD199" s="14">
        <f t="shared" si="271"/>
        <v>24101.74</v>
      </c>
      <c r="AE199" s="14">
        <f t="shared" si="272"/>
        <v>24101.74</v>
      </c>
      <c r="AF199" s="14">
        <v>0</v>
      </c>
      <c r="AG199" s="7">
        <f t="shared" si="273"/>
        <v>111316.12559090892</v>
      </c>
      <c r="AH199" s="12">
        <f t="shared" si="274"/>
        <v>26511.914000000004</v>
      </c>
      <c r="AI199" s="8">
        <f t="shared" si="275"/>
        <v>24101.74</v>
      </c>
      <c r="AJ199" s="14">
        <f t="shared" si="276"/>
        <v>33019.3838</v>
      </c>
      <c r="AK199" s="14">
        <f t="shared" si="277"/>
        <v>24101.74</v>
      </c>
      <c r="AL199" s="14">
        <f t="shared" si="278"/>
        <v>24101.74</v>
      </c>
      <c r="AM199" s="14">
        <f>L199*1.1</f>
        <v>26511.914000000004</v>
      </c>
      <c r="AN199" s="14">
        <f>L199</f>
        <v>24101.74</v>
      </c>
      <c r="AO199" s="14">
        <f t="shared" si="293"/>
        <v>12546.24</v>
      </c>
      <c r="AP199" s="14">
        <f t="shared" si="279"/>
        <v>24101.74</v>
      </c>
      <c r="AQ199" s="7">
        <f t="shared" si="280"/>
        <v>79511.51827922066</v>
      </c>
      <c r="AR199" s="14">
        <f t="shared" si="281"/>
        <v>12546.24</v>
      </c>
      <c r="AS199" s="14">
        <f t="shared" si="282"/>
        <v>24101.74</v>
      </c>
      <c r="AT199" s="12">
        <f>L199*1.2</f>
        <v>28922.088</v>
      </c>
      <c r="AU199" s="14">
        <f t="shared" si="283"/>
        <v>13800.864000000001</v>
      </c>
      <c r="AV199" s="14">
        <f t="shared" si="284"/>
        <v>24101.74</v>
      </c>
      <c r="AW199" s="7">
        <f t="shared" si="285"/>
        <v>22896.653000000002</v>
      </c>
      <c r="AX199" s="7">
        <f t="shared" si="286"/>
        <v>21209.5312</v>
      </c>
      <c r="AY199" s="14">
        <v>0</v>
      </c>
      <c r="AZ199" s="14">
        <v>0</v>
      </c>
      <c r="BA199" s="14">
        <v>0</v>
      </c>
      <c r="BB199" s="12">
        <f t="shared" si="250"/>
        <v>24101.74</v>
      </c>
      <c r="BC199" s="12">
        <f t="shared" si="251"/>
        <v>26511.914000000004</v>
      </c>
      <c r="BD199" s="12">
        <f t="shared" si="252"/>
        <v>21691.566000000003</v>
      </c>
      <c r="BE199" s="14">
        <v>0</v>
      </c>
      <c r="BF199" s="14">
        <v>0</v>
      </c>
      <c r="BG199" s="14">
        <v>0</v>
      </c>
      <c r="BH199" s="14">
        <f t="shared" si="287"/>
        <v>28922.088</v>
      </c>
      <c r="BI199" s="14">
        <f t="shared" si="288"/>
        <v>24101.74</v>
      </c>
      <c r="BJ199" s="14">
        <f t="shared" si="289"/>
        <v>22896.653000000002</v>
      </c>
      <c r="BK199" s="14">
        <f t="shared" si="290"/>
        <v>24101.74</v>
      </c>
      <c r="BL199" s="12">
        <f>3.071*9755+7235.91821428572*1.02</f>
        <v>37338.24157857144</v>
      </c>
      <c r="BM199" s="14">
        <f t="shared" si="291"/>
        <v>24101.74</v>
      </c>
      <c r="BN199" s="14">
        <f t="shared" si="292"/>
        <v>0</v>
      </c>
      <c r="BO199" s="14">
        <f t="shared" si="262"/>
        <v>111316.12559090892</v>
      </c>
    </row>
    <row r="200" spans="1:67" ht="19.5" customHeight="1">
      <c r="A200" s="10">
        <f t="shared" si="214"/>
        <v>199</v>
      </c>
      <c r="B200" s="10">
        <v>469</v>
      </c>
      <c r="C200" s="11" t="s">
        <v>378</v>
      </c>
      <c r="D200" s="30" t="s">
        <v>140</v>
      </c>
      <c r="E200" s="11" t="s">
        <v>373</v>
      </c>
      <c r="F200" s="42">
        <f>126309.535625+H200</f>
        <v>143650.73348214288</v>
      </c>
      <c r="G200" s="11" t="s">
        <v>378</v>
      </c>
      <c r="H200" s="47">
        <f>5780.39928571429*3</f>
        <v>17341.19785714287</v>
      </c>
      <c r="I200" s="6">
        <v>3</v>
      </c>
      <c r="J200" s="8">
        <f t="shared" si="263"/>
        <v>31650.177000000003</v>
      </c>
      <c r="K200" s="52" t="s">
        <v>382</v>
      </c>
      <c r="L200" s="14">
        <v>24346.29</v>
      </c>
      <c r="M200" s="14">
        <v>13546.95</v>
      </c>
      <c r="N200" s="12">
        <f>3.1399*10804.5</f>
        <v>33925.049549999996</v>
      </c>
      <c r="O200" s="14">
        <f t="shared" si="264"/>
        <v>24346.29</v>
      </c>
      <c r="P200" s="14">
        <f>F200*0.5</f>
        <v>71825.36674107144</v>
      </c>
      <c r="Q200" s="14">
        <v>0</v>
      </c>
      <c r="R200" s="14">
        <v>0</v>
      </c>
      <c r="S200" s="9">
        <f t="shared" si="265"/>
        <v>24346.29</v>
      </c>
      <c r="T200" s="14">
        <f>14692+17260</f>
        <v>31952</v>
      </c>
      <c r="U200" s="54">
        <f>3.2314*10568</f>
        <v>34149.4352</v>
      </c>
      <c r="V200" s="9">
        <f t="shared" si="266"/>
        <v>24346.29</v>
      </c>
      <c r="W200" s="12">
        <f t="shared" si="267"/>
        <v>24346.29</v>
      </c>
      <c r="X200" s="14">
        <f t="shared" si="268"/>
        <v>24346.29</v>
      </c>
      <c r="Y200" s="12">
        <f t="shared" si="294"/>
        <v>13074.26680071429</v>
      </c>
      <c r="Z200" s="12">
        <f t="shared" si="269"/>
        <v>23128.9755</v>
      </c>
      <c r="AA200" s="12">
        <f t="shared" si="270"/>
        <v>21911.661</v>
      </c>
      <c r="AB200" s="14">
        <v>0</v>
      </c>
      <c r="AC200" s="14">
        <v>0</v>
      </c>
      <c r="AD200" s="14">
        <f t="shared" si="271"/>
        <v>24346.29</v>
      </c>
      <c r="AE200" s="14">
        <f t="shared" si="272"/>
        <v>24346.29</v>
      </c>
      <c r="AF200" s="14">
        <v>0</v>
      </c>
      <c r="AG200" s="7">
        <f t="shared" si="273"/>
        <v>112694.35193750002</v>
      </c>
      <c r="AH200" s="12">
        <f t="shared" si="274"/>
        <v>26780.919</v>
      </c>
      <c r="AI200" s="8">
        <f t="shared" si="275"/>
        <v>24346.29</v>
      </c>
      <c r="AJ200" s="14">
        <f t="shared" si="276"/>
        <v>33354.4173</v>
      </c>
      <c r="AK200" s="14">
        <f t="shared" si="277"/>
        <v>24346.29</v>
      </c>
      <c r="AL200" s="14">
        <f t="shared" si="278"/>
        <v>24346.29</v>
      </c>
      <c r="AM200" s="7">
        <v>18324</v>
      </c>
      <c r="AN200" s="7">
        <v>18324</v>
      </c>
      <c r="AO200" s="14">
        <f t="shared" si="293"/>
        <v>13546.95</v>
      </c>
      <c r="AP200" s="14">
        <f t="shared" si="279"/>
        <v>24346.29</v>
      </c>
      <c r="AQ200" s="7">
        <f t="shared" si="280"/>
        <v>80495.96566964287</v>
      </c>
      <c r="AR200" s="14">
        <f t="shared" si="281"/>
        <v>13546.95</v>
      </c>
      <c r="AS200" s="14">
        <f t="shared" si="282"/>
        <v>24346.29</v>
      </c>
      <c r="AT200" s="12">
        <f>L200*1.2</f>
        <v>29215.548</v>
      </c>
      <c r="AU200" s="14">
        <f t="shared" si="283"/>
        <v>14901.645000000002</v>
      </c>
      <c r="AV200" s="14">
        <f t="shared" si="284"/>
        <v>24346.29</v>
      </c>
      <c r="AW200" s="7">
        <f t="shared" si="285"/>
        <v>23128.9755</v>
      </c>
      <c r="AX200" s="7">
        <f t="shared" si="286"/>
        <v>21424.7352</v>
      </c>
      <c r="AY200" s="14">
        <v>0</v>
      </c>
      <c r="AZ200" s="14">
        <v>0</v>
      </c>
      <c r="BA200" s="14">
        <v>0</v>
      </c>
      <c r="BB200" s="12">
        <f t="shared" si="250"/>
        <v>24346.29</v>
      </c>
      <c r="BC200" s="12">
        <f t="shared" si="251"/>
        <v>26780.919</v>
      </c>
      <c r="BD200" s="12">
        <f t="shared" si="252"/>
        <v>21911.661</v>
      </c>
      <c r="BE200" s="14">
        <v>0</v>
      </c>
      <c r="BF200" s="14">
        <v>0</v>
      </c>
      <c r="BG200" s="14">
        <v>0</v>
      </c>
      <c r="BH200" s="14">
        <f t="shared" si="287"/>
        <v>29215.548</v>
      </c>
      <c r="BI200" s="14">
        <f t="shared" si="288"/>
        <v>24346.29</v>
      </c>
      <c r="BJ200" s="14">
        <f t="shared" si="289"/>
        <v>23128.9755</v>
      </c>
      <c r="BK200" s="14">
        <f t="shared" si="290"/>
        <v>24346.29</v>
      </c>
      <c r="BL200" s="12">
        <f>3.1399*9755+5780.39928571429*1.02</f>
        <v>36525.731771428575</v>
      </c>
      <c r="BM200" s="14">
        <f t="shared" si="291"/>
        <v>24346.29</v>
      </c>
      <c r="BN200" s="14">
        <f t="shared" si="292"/>
        <v>0</v>
      </c>
      <c r="BO200" s="14">
        <f t="shared" si="262"/>
        <v>112694.35193750002</v>
      </c>
    </row>
    <row r="201" spans="1:67" ht="19.5" customHeight="1">
      <c r="A201" s="10">
        <f t="shared" si="214"/>
        <v>200</v>
      </c>
      <c r="B201" s="10">
        <v>483</v>
      </c>
      <c r="C201" s="11" t="s">
        <v>378</v>
      </c>
      <c r="D201" s="30" t="s">
        <v>234</v>
      </c>
      <c r="E201" s="11" t="s">
        <v>373</v>
      </c>
      <c r="F201" s="42">
        <f>110438.600909091+H201</f>
        <v>145150.0084090911</v>
      </c>
      <c r="G201" s="11" t="s">
        <v>378</v>
      </c>
      <c r="H201" s="47">
        <f>11570.4691666667*3</f>
        <v>34711.4075000001</v>
      </c>
      <c r="I201" s="6">
        <v>1</v>
      </c>
      <c r="J201" s="8">
        <f t="shared" si="263"/>
        <v>24537.019000000004</v>
      </c>
      <c r="K201" s="52" t="s">
        <v>382</v>
      </c>
      <c r="L201" s="14">
        <v>18874.63</v>
      </c>
      <c r="M201" s="14">
        <v>6263.41</v>
      </c>
      <c r="N201" s="12">
        <f>2.3921*10804.5</f>
        <v>25845.444450000003</v>
      </c>
      <c r="O201" s="14">
        <f t="shared" si="264"/>
        <v>18874.63</v>
      </c>
      <c r="P201" s="14">
        <f>F201*0.5</f>
        <v>72575.00420454555</v>
      </c>
      <c r="Q201" s="14">
        <v>0</v>
      </c>
      <c r="R201" s="14">
        <v>0</v>
      </c>
      <c r="S201" s="9">
        <f t="shared" si="265"/>
        <v>18874.63</v>
      </c>
      <c r="T201" s="14">
        <f>12445+7710</f>
        <v>20155</v>
      </c>
      <c r="U201" s="54">
        <f>2.3576*10568</f>
        <v>24915.1168</v>
      </c>
      <c r="V201" s="9">
        <f t="shared" si="266"/>
        <v>18874.63</v>
      </c>
      <c r="W201" s="12">
        <f t="shared" si="267"/>
        <v>18874.63</v>
      </c>
      <c r="X201" s="14">
        <f t="shared" si="268"/>
        <v>18874.63</v>
      </c>
      <c r="Y201" s="12">
        <f t="shared" si="294"/>
        <v>15149.354997500039</v>
      </c>
      <c r="Z201" s="12">
        <f t="shared" si="269"/>
        <v>17930.8985</v>
      </c>
      <c r="AA201" s="12">
        <f t="shared" si="270"/>
        <v>16987.167</v>
      </c>
      <c r="AB201" s="14">
        <v>0</v>
      </c>
      <c r="AC201" s="14">
        <v>0</v>
      </c>
      <c r="AD201" s="14">
        <f t="shared" si="271"/>
        <v>18874.63</v>
      </c>
      <c r="AE201" s="14">
        <f t="shared" si="272"/>
        <v>18874.63</v>
      </c>
      <c r="AF201" s="14">
        <v>0</v>
      </c>
      <c r="AG201" s="7">
        <f t="shared" si="273"/>
        <v>125902.99113636384</v>
      </c>
      <c r="AH201" s="12">
        <f t="shared" si="274"/>
        <v>20762.093000000004</v>
      </c>
      <c r="AI201" s="8">
        <f t="shared" si="275"/>
        <v>18874.63</v>
      </c>
      <c r="AJ201" s="14">
        <f t="shared" si="276"/>
        <v>25858.243100000003</v>
      </c>
      <c r="AK201" s="14">
        <f t="shared" si="277"/>
        <v>18874.63</v>
      </c>
      <c r="AL201" s="14">
        <f t="shared" si="278"/>
        <v>18874.63</v>
      </c>
      <c r="AM201" s="14">
        <f>3500+11570.4691666667*0.05+11570.4691666667</f>
        <v>15648.992625000035</v>
      </c>
      <c r="AN201" s="14">
        <f>3500+11570.4691666667*0.05+11570.4691666667</f>
        <v>15648.992625000035</v>
      </c>
      <c r="AO201" s="14">
        <f t="shared" si="293"/>
        <v>6263.41</v>
      </c>
      <c r="AP201" s="14">
        <f t="shared" si="279"/>
        <v>18874.63</v>
      </c>
      <c r="AQ201" s="7">
        <f t="shared" si="280"/>
        <v>89930.70795454559</v>
      </c>
      <c r="AR201" s="14">
        <f t="shared" si="281"/>
        <v>6263.41</v>
      </c>
      <c r="AS201" s="14">
        <f t="shared" si="282"/>
        <v>18874.63</v>
      </c>
      <c r="AT201" s="12">
        <f>2806*I201+H201*0.4</f>
        <v>16690.563000000042</v>
      </c>
      <c r="AU201" s="14">
        <f t="shared" si="283"/>
        <v>6889.751</v>
      </c>
      <c r="AV201" s="14">
        <f t="shared" si="284"/>
        <v>18874.63</v>
      </c>
      <c r="AW201" s="7">
        <f t="shared" si="285"/>
        <v>17930.8985</v>
      </c>
      <c r="AX201" s="7">
        <f t="shared" si="286"/>
        <v>16609.6744</v>
      </c>
      <c r="AY201" s="14">
        <v>0</v>
      </c>
      <c r="AZ201" s="14">
        <v>0</v>
      </c>
      <c r="BA201" s="14">
        <v>0</v>
      </c>
      <c r="BB201" s="12">
        <f t="shared" si="250"/>
        <v>18874.63</v>
      </c>
      <c r="BC201" s="12">
        <f t="shared" si="251"/>
        <v>20762.093000000004</v>
      </c>
      <c r="BD201" s="12">
        <f t="shared" si="252"/>
        <v>16987.167</v>
      </c>
      <c r="BE201" s="14">
        <v>0</v>
      </c>
      <c r="BF201" s="14">
        <v>0</v>
      </c>
      <c r="BG201" s="14">
        <v>0</v>
      </c>
      <c r="BH201" s="14">
        <f t="shared" si="287"/>
        <v>22649.556</v>
      </c>
      <c r="BI201" s="14">
        <f t="shared" si="288"/>
        <v>18874.63</v>
      </c>
      <c r="BJ201" s="14">
        <f t="shared" si="289"/>
        <v>17930.8985</v>
      </c>
      <c r="BK201" s="14">
        <f t="shared" si="290"/>
        <v>18874.63</v>
      </c>
      <c r="BL201" s="14">
        <f>4660+11570.4691666667*1.02</f>
        <v>16461.878550000034</v>
      </c>
      <c r="BM201" s="14">
        <f t="shared" si="291"/>
        <v>18874.63</v>
      </c>
      <c r="BN201" s="14">
        <f t="shared" si="292"/>
        <v>0</v>
      </c>
      <c r="BO201" s="14">
        <f t="shared" si="262"/>
        <v>125902.99113636384</v>
      </c>
    </row>
    <row r="202" spans="1:67" ht="19.5" customHeight="1">
      <c r="A202" s="10">
        <f aca="true" t="shared" si="295" ref="A202:A265">A201+1</f>
        <v>201</v>
      </c>
      <c r="B202" s="6">
        <v>25</v>
      </c>
      <c r="C202" s="11" t="s">
        <v>378</v>
      </c>
      <c r="D202" s="30" t="s">
        <v>254</v>
      </c>
      <c r="E202" s="11" t="s">
        <v>373</v>
      </c>
      <c r="F202" s="42">
        <f>144171.897142857+H202</f>
        <v>152385.035142857</v>
      </c>
      <c r="G202" s="11" t="s">
        <v>378</v>
      </c>
      <c r="H202" s="47">
        <f>2737.71266666667*3</f>
        <v>8213.13800000001</v>
      </c>
      <c r="I202" s="6">
        <v>7</v>
      </c>
      <c r="J202" s="8">
        <f t="shared" si="263"/>
        <v>45991.049000000006</v>
      </c>
      <c r="K202" s="52" t="s">
        <v>382</v>
      </c>
      <c r="L202" s="17">
        <v>35377.73</v>
      </c>
      <c r="M202" s="17">
        <v>12614.76</v>
      </c>
      <c r="N202" s="17">
        <f>4.3945*10804.5</f>
        <v>47480.37525</v>
      </c>
      <c r="O202" s="8">
        <f t="shared" si="264"/>
        <v>35377.73</v>
      </c>
      <c r="P202" s="14">
        <f>F202*0.5</f>
        <v>76192.5175714285</v>
      </c>
      <c r="Q202" s="14">
        <v>0</v>
      </c>
      <c r="R202" s="14">
        <v>0</v>
      </c>
      <c r="S202" s="9">
        <f t="shared" si="265"/>
        <v>35377.73</v>
      </c>
      <c r="T202" s="21">
        <f>34087+H202</f>
        <v>42300.138000000006</v>
      </c>
      <c r="U202" s="54">
        <f>4.5405*10568</f>
        <v>47984.004</v>
      </c>
      <c r="V202" s="9">
        <f t="shared" si="266"/>
        <v>35377.73</v>
      </c>
      <c r="W202" s="12">
        <f t="shared" si="267"/>
        <v>35377.73</v>
      </c>
      <c r="X202" s="14">
        <f t="shared" si="268"/>
        <v>35377.73</v>
      </c>
      <c r="Y202" s="12">
        <f t="shared" si="294"/>
        <v>18477.500474000004</v>
      </c>
      <c r="Z202" s="12">
        <f t="shared" si="269"/>
        <v>33608.8435</v>
      </c>
      <c r="AA202" s="12">
        <f t="shared" si="270"/>
        <v>31839.957000000002</v>
      </c>
      <c r="AB202" s="14">
        <v>0</v>
      </c>
      <c r="AC202" s="14">
        <v>0</v>
      </c>
      <c r="AD202" s="14">
        <f t="shared" si="271"/>
        <v>35377.73</v>
      </c>
      <c r="AE202" s="14">
        <f t="shared" si="272"/>
        <v>35377.73</v>
      </c>
      <c r="AF202" s="14">
        <v>0</v>
      </c>
      <c r="AG202" s="7">
        <f t="shared" si="273"/>
        <v>112418.7211999999</v>
      </c>
      <c r="AH202" s="12">
        <f t="shared" si="274"/>
        <v>38915.503000000004</v>
      </c>
      <c r="AI202" s="8">
        <f t="shared" si="275"/>
        <v>35377.73</v>
      </c>
      <c r="AJ202" s="14">
        <f t="shared" si="276"/>
        <v>48467.49010000001</v>
      </c>
      <c r="AK202" s="14">
        <f t="shared" si="277"/>
        <v>35377.73</v>
      </c>
      <c r="AL202" s="14">
        <f t="shared" si="278"/>
        <v>35377.73</v>
      </c>
      <c r="AM202" s="8">
        <f aca="true" t="shared" si="296" ref="AM202:AM207">L202*1.1</f>
        <v>38915.503000000004</v>
      </c>
      <c r="AN202" s="8">
        <f aca="true" t="shared" si="297" ref="AN202:AN232">L202</f>
        <v>35377.73</v>
      </c>
      <c r="AO202" s="8">
        <f t="shared" si="293"/>
        <v>12614.76</v>
      </c>
      <c r="AP202" s="14">
        <f t="shared" si="279"/>
        <v>35377.73</v>
      </c>
      <c r="AQ202" s="7">
        <f t="shared" si="280"/>
        <v>80299.0865714285</v>
      </c>
      <c r="AR202" s="17">
        <f t="shared" si="281"/>
        <v>12614.76</v>
      </c>
      <c r="AS202" s="14">
        <f t="shared" si="282"/>
        <v>35377.73</v>
      </c>
      <c r="AT202" s="22">
        <f>(2806*6)+0.55*(F202-(F202/I202)*6)+H202*0.4</f>
        <v>32094.365104081637</v>
      </c>
      <c r="AU202" s="8">
        <f t="shared" si="283"/>
        <v>13876.236</v>
      </c>
      <c r="AV202" s="14">
        <f t="shared" si="284"/>
        <v>35377.73</v>
      </c>
      <c r="AW202" s="7">
        <f t="shared" si="285"/>
        <v>33608.8435</v>
      </c>
      <c r="AX202" s="8" t="str">
        <f>CONCATENATE(ROUND(L202*0.88,2)," ",K202)</f>
        <v>31132.4 IPPS</v>
      </c>
      <c r="AY202" s="14">
        <v>0</v>
      </c>
      <c r="AZ202" s="14">
        <v>0</v>
      </c>
      <c r="BA202" s="14">
        <v>0</v>
      </c>
      <c r="BB202" s="12">
        <f t="shared" si="250"/>
        <v>35377.73</v>
      </c>
      <c r="BC202" s="12">
        <f t="shared" si="251"/>
        <v>38915.503000000004</v>
      </c>
      <c r="BD202" s="12">
        <f t="shared" si="252"/>
        <v>31839.957000000002</v>
      </c>
      <c r="BE202" s="14">
        <v>0</v>
      </c>
      <c r="BF202" s="14">
        <v>0</v>
      </c>
      <c r="BG202" s="14">
        <v>0</v>
      </c>
      <c r="BH202" s="8">
        <f t="shared" si="287"/>
        <v>42453.276000000005</v>
      </c>
      <c r="BI202" s="14">
        <f t="shared" si="288"/>
        <v>35377.73</v>
      </c>
      <c r="BJ202" s="8">
        <f t="shared" si="289"/>
        <v>33608.8435</v>
      </c>
      <c r="BK202" s="14">
        <f t="shared" si="290"/>
        <v>35377.73</v>
      </c>
      <c r="BL202" s="17">
        <f>4.5405*9755+2737.71266666667*1.02</f>
        <v>47085.044420000006</v>
      </c>
      <c r="BM202" s="14">
        <f t="shared" si="291"/>
        <v>35377.73</v>
      </c>
      <c r="BN202" s="8">
        <f t="shared" si="292"/>
        <v>0</v>
      </c>
      <c r="BO202" s="8">
        <f t="shared" si="262"/>
        <v>112418.7211999999</v>
      </c>
    </row>
    <row r="203" spans="1:67" ht="19.5" customHeight="1">
      <c r="A203" s="10">
        <f t="shared" si="295"/>
        <v>202</v>
      </c>
      <c r="B203" s="6">
        <v>27</v>
      </c>
      <c r="C203" s="11" t="s">
        <v>378</v>
      </c>
      <c r="D203" s="30" t="s">
        <v>255</v>
      </c>
      <c r="E203" s="11" t="s">
        <v>373</v>
      </c>
      <c r="F203" s="42">
        <f>91577.3971428571+H203</f>
        <v>98608.03514285709</v>
      </c>
      <c r="G203" s="11" t="s">
        <v>378</v>
      </c>
      <c r="H203" s="47">
        <f>2343.546*3</f>
        <v>7030.637999999999</v>
      </c>
      <c r="I203" s="6">
        <v>2</v>
      </c>
      <c r="J203" s="8">
        <f t="shared" si="263"/>
        <v>25816.635000000002</v>
      </c>
      <c r="K203" s="52" t="s">
        <v>382</v>
      </c>
      <c r="L203" s="17">
        <v>19858.95</v>
      </c>
      <c r="M203" s="17">
        <v>14388.31</v>
      </c>
      <c r="N203" s="17">
        <f>2.3967*10804.5</f>
        <v>25895.14515</v>
      </c>
      <c r="O203" s="8">
        <f t="shared" si="264"/>
        <v>19858.95</v>
      </c>
      <c r="P203" s="8">
        <f>1.25*L203</f>
        <v>24823.6875</v>
      </c>
      <c r="Q203" s="14">
        <v>0</v>
      </c>
      <c r="R203" s="14">
        <v>0</v>
      </c>
      <c r="S203" s="9">
        <f t="shared" si="265"/>
        <v>19858.95</v>
      </c>
      <c r="T203" s="21">
        <f>34087+H203</f>
        <v>41117.638</v>
      </c>
      <c r="U203" s="54">
        <f>2.4954*10568</f>
        <v>26371.3872</v>
      </c>
      <c r="V203" s="9">
        <f t="shared" si="266"/>
        <v>19858.95</v>
      </c>
      <c r="W203" s="12">
        <f t="shared" si="267"/>
        <v>19858.95</v>
      </c>
      <c r="X203" s="14">
        <f t="shared" si="268"/>
        <v>19858.95</v>
      </c>
      <c r="Y203" s="12">
        <f t="shared" si="294"/>
        <v>7026.427974</v>
      </c>
      <c r="Z203" s="12">
        <f t="shared" si="269"/>
        <v>18866.0025</v>
      </c>
      <c r="AA203" s="12">
        <f t="shared" si="270"/>
        <v>17873.055</v>
      </c>
      <c r="AB203" s="14">
        <v>0</v>
      </c>
      <c r="AC203" s="14">
        <v>0</v>
      </c>
      <c r="AD203" s="14">
        <f t="shared" si="271"/>
        <v>19858.95</v>
      </c>
      <c r="AE203" s="14">
        <f t="shared" si="272"/>
        <v>19858.95</v>
      </c>
      <c r="AF203" s="14">
        <v>0</v>
      </c>
      <c r="AG203" s="7">
        <f t="shared" si="273"/>
        <v>73947.07119999995</v>
      </c>
      <c r="AH203" s="12">
        <f t="shared" si="274"/>
        <v>21844.845</v>
      </c>
      <c r="AI203" s="8">
        <f t="shared" si="275"/>
        <v>19858.95</v>
      </c>
      <c r="AJ203" s="14">
        <f t="shared" si="276"/>
        <v>27206.761500000004</v>
      </c>
      <c r="AK203" s="14">
        <f t="shared" si="277"/>
        <v>19858.95</v>
      </c>
      <c r="AL203" s="14">
        <f t="shared" si="278"/>
        <v>19858.95</v>
      </c>
      <c r="AM203" s="8">
        <f t="shared" si="296"/>
        <v>21844.845</v>
      </c>
      <c r="AN203" s="8">
        <f t="shared" si="297"/>
        <v>19858.95</v>
      </c>
      <c r="AO203" s="8">
        <f t="shared" si="293"/>
        <v>14388.31</v>
      </c>
      <c r="AP203" s="14">
        <f t="shared" si="279"/>
        <v>19858.95</v>
      </c>
      <c r="AQ203" s="7">
        <f t="shared" si="280"/>
        <v>52819.33657142855</v>
      </c>
      <c r="AR203" s="17">
        <f t="shared" si="281"/>
        <v>14388.31</v>
      </c>
      <c r="AS203" s="14">
        <f t="shared" si="282"/>
        <v>19858.95</v>
      </c>
      <c r="AT203" s="12">
        <f>2806*I203+H203*0.4</f>
        <v>8424.2552</v>
      </c>
      <c r="AU203" s="8">
        <f t="shared" si="283"/>
        <v>15827.141000000001</v>
      </c>
      <c r="AV203" s="14">
        <f t="shared" si="284"/>
        <v>19858.95</v>
      </c>
      <c r="AW203" s="7">
        <f t="shared" si="285"/>
        <v>18866.0025</v>
      </c>
      <c r="AX203" s="8" t="str">
        <f>CONCATENATE(ROUND(L203*0.88,2)," ",K203)</f>
        <v>17475.88 IPPS</v>
      </c>
      <c r="AY203" s="14">
        <v>0</v>
      </c>
      <c r="AZ203" s="14">
        <v>0</v>
      </c>
      <c r="BA203" s="14">
        <v>0</v>
      </c>
      <c r="BB203" s="12">
        <f t="shared" si="250"/>
        <v>19858.95</v>
      </c>
      <c r="BC203" s="12">
        <f t="shared" si="251"/>
        <v>21844.845</v>
      </c>
      <c r="BD203" s="12">
        <f t="shared" si="252"/>
        <v>17873.055</v>
      </c>
      <c r="BE203" s="14">
        <v>0</v>
      </c>
      <c r="BF203" s="14">
        <v>0</v>
      </c>
      <c r="BG203" s="14">
        <v>0</v>
      </c>
      <c r="BH203" s="8">
        <f t="shared" si="287"/>
        <v>23830.74</v>
      </c>
      <c r="BI203" s="14">
        <f t="shared" si="288"/>
        <v>19858.95</v>
      </c>
      <c r="BJ203" s="8">
        <f t="shared" si="289"/>
        <v>18866.0025</v>
      </c>
      <c r="BK203" s="14">
        <f t="shared" si="290"/>
        <v>19858.95</v>
      </c>
      <c r="BL203" s="17">
        <f>2.4954*9755+2343.546*1.02</f>
        <v>26733.04392</v>
      </c>
      <c r="BM203" s="14">
        <f t="shared" si="291"/>
        <v>19858.95</v>
      </c>
      <c r="BN203" s="8">
        <f t="shared" si="292"/>
        <v>0</v>
      </c>
      <c r="BO203" s="8">
        <f t="shared" si="262"/>
        <v>73947.07119999995</v>
      </c>
    </row>
    <row r="204" spans="1:67" ht="19.5" customHeight="1">
      <c r="A204" s="10">
        <f t="shared" si="295"/>
        <v>203</v>
      </c>
      <c r="B204" s="6">
        <v>517</v>
      </c>
      <c r="C204" s="11" t="s">
        <v>378</v>
      </c>
      <c r="D204" s="30" t="s">
        <v>257</v>
      </c>
      <c r="E204" s="11" t="s">
        <v>373</v>
      </c>
      <c r="F204" s="42">
        <f>52474.9214285714+H204</f>
        <v>61685.449428571395</v>
      </c>
      <c r="G204" s="11" t="s">
        <v>378</v>
      </c>
      <c r="H204" s="47">
        <f>3070.176*3</f>
        <v>9210.528</v>
      </c>
      <c r="I204" s="6">
        <v>2</v>
      </c>
      <c r="J204" s="8">
        <f t="shared" si="263"/>
        <v>14454.167000000001</v>
      </c>
      <c r="K204" s="52" t="s">
        <v>382</v>
      </c>
      <c r="L204" s="17">
        <v>11118.59</v>
      </c>
      <c r="M204" s="17">
        <v>7374.7</v>
      </c>
      <c r="N204" s="7">
        <f>2.0517*10804.5</f>
        <v>22167.59265</v>
      </c>
      <c r="O204" s="8">
        <f t="shared" si="264"/>
        <v>11118.59</v>
      </c>
      <c r="P204" s="8">
        <f>1.25*L204</f>
        <v>13898.2375</v>
      </c>
      <c r="Q204" s="14">
        <v>0</v>
      </c>
      <c r="R204" s="14">
        <v>0</v>
      </c>
      <c r="S204" s="9">
        <f t="shared" si="265"/>
        <v>11118.59</v>
      </c>
      <c r="T204" s="21">
        <f>3950*I204+H204</f>
        <v>17110.528</v>
      </c>
      <c r="U204" s="54">
        <f>1.5099*10568</f>
        <v>15956.6232</v>
      </c>
      <c r="V204" s="9">
        <f t="shared" si="266"/>
        <v>11118.59</v>
      </c>
      <c r="W204" s="12">
        <f t="shared" si="267"/>
        <v>11118.59</v>
      </c>
      <c r="X204" s="14">
        <f t="shared" si="268"/>
        <v>11118.59</v>
      </c>
      <c r="Y204" s="12">
        <f t="shared" si="294"/>
        <v>7839.526944</v>
      </c>
      <c r="Z204" s="12">
        <f t="shared" si="269"/>
        <v>10562.6605</v>
      </c>
      <c r="AA204" s="12">
        <f t="shared" si="270"/>
        <v>10006.731</v>
      </c>
      <c r="AB204" s="14">
        <v>0</v>
      </c>
      <c r="AC204" s="14">
        <v>0</v>
      </c>
      <c r="AD204" s="14">
        <f t="shared" si="271"/>
        <v>11118.59</v>
      </c>
      <c r="AE204" s="14">
        <f t="shared" si="272"/>
        <v>11118.59</v>
      </c>
      <c r="AF204" s="14">
        <v>0</v>
      </c>
      <c r="AG204" s="7">
        <f t="shared" si="273"/>
        <v>49627.184199999974</v>
      </c>
      <c r="AH204" s="12">
        <f t="shared" si="274"/>
        <v>12230.449</v>
      </c>
      <c r="AI204" s="8">
        <f t="shared" si="275"/>
        <v>11118.59</v>
      </c>
      <c r="AJ204" s="14">
        <f t="shared" si="276"/>
        <v>15232.468300000002</v>
      </c>
      <c r="AK204" s="14">
        <f t="shared" si="277"/>
        <v>11118.59</v>
      </c>
      <c r="AL204" s="14">
        <f t="shared" si="278"/>
        <v>11118.59</v>
      </c>
      <c r="AM204" s="8">
        <f t="shared" si="296"/>
        <v>12230.449</v>
      </c>
      <c r="AN204" s="8">
        <f t="shared" si="297"/>
        <v>11118.59</v>
      </c>
      <c r="AO204" s="8">
        <f t="shared" si="293"/>
        <v>7374.7</v>
      </c>
      <c r="AP204" s="14">
        <f t="shared" si="279"/>
        <v>11118.59</v>
      </c>
      <c r="AQ204" s="7">
        <f t="shared" si="280"/>
        <v>35447.9887142857</v>
      </c>
      <c r="AR204" s="17">
        <f t="shared" si="281"/>
        <v>7374.7</v>
      </c>
      <c r="AS204" s="14">
        <f t="shared" si="282"/>
        <v>11118.59</v>
      </c>
      <c r="AT204" s="12">
        <f>2806*I204+H204*0.4</f>
        <v>9296.2112</v>
      </c>
      <c r="AU204" s="8">
        <f t="shared" si="283"/>
        <v>8112.17</v>
      </c>
      <c r="AV204" s="14">
        <f t="shared" si="284"/>
        <v>11118.59</v>
      </c>
      <c r="AW204" s="7">
        <f t="shared" si="285"/>
        <v>10562.6605</v>
      </c>
      <c r="AX204" s="8" t="str">
        <f>CONCATENATE(ROUND(L204*0.88,2)," ",K204)</f>
        <v>9784.36 IPPS</v>
      </c>
      <c r="AY204" s="14">
        <v>0</v>
      </c>
      <c r="AZ204" s="14">
        <v>0</v>
      </c>
      <c r="BA204" s="14">
        <v>0</v>
      </c>
      <c r="BB204" s="12">
        <f t="shared" si="250"/>
        <v>11118.59</v>
      </c>
      <c r="BC204" s="12">
        <f t="shared" si="251"/>
        <v>12230.449</v>
      </c>
      <c r="BD204" s="12">
        <f t="shared" si="252"/>
        <v>10006.731</v>
      </c>
      <c r="BE204" s="14">
        <v>0</v>
      </c>
      <c r="BF204" s="14">
        <v>0</v>
      </c>
      <c r="BG204" s="14">
        <v>0</v>
      </c>
      <c r="BH204" s="8">
        <f t="shared" si="287"/>
        <v>13342.307999999999</v>
      </c>
      <c r="BI204" s="14">
        <f t="shared" si="288"/>
        <v>11118.59</v>
      </c>
      <c r="BJ204" s="8">
        <f t="shared" si="289"/>
        <v>10562.6605</v>
      </c>
      <c r="BK204" s="14">
        <f t="shared" si="290"/>
        <v>11118.59</v>
      </c>
      <c r="BL204" s="7">
        <f>1.5099*9755+3070.176*1.02</f>
        <v>17860.65402</v>
      </c>
      <c r="BM204" s="14">
        <f t="shared" si="291"/>
        <v>11118.59</v>
      </c>
      <c r="BN204" s="8">
        <f t="shared" si="292"/>
        <v>0</v>
      </c>
      <c r="BO204" s="8">
        <f t="shared" si="262"/>
        <v>49627.184199999974</v>
      </c>
    </row>
    <row r="205" spans="1:67" ht="19.5" customHeight="1">
      <c r="A205" s="10">
        <f t="shared" si="295"/>
        <v>204</v>
      </c>
      <c r="B205" s="6">
        <v>4</v>
      </c>
      <c r="C205" s="11" t="s">
        <v>378</v>
      </c>
      <c r="D205" s="30" t="s">
        <v>258</v>
      </c>
      <c r="E205" s="11" t="s">
        <v>373</v>
      </c>
      <c r="F205" s="42">
        <f>368373.876666667+H205</f>
        <v>409991.376666667</v>
      </c>
      <c r="G205" s="11" t="s">
        <v>378</v>
      </c>
      <c r="H205" s="47">
        <f>13872.5*3</f>
        <v>41617.5</v>
      </c>
      <c r="I205" s="6">
        <v>20</v>
      </c>
      <c r="J205" s="8">
        <f t="shared" si="263"/>
        <v>121091.64600000001</v>
      </c>
      <c r="K205" s="52" t="s">
        <v>382</v>
      </c>
      <c r="L205" s="17">
        <v>93147.42</v>
      </c>
      <c r="M205" s="17">
        <v>38743.59</v>
      </c>
      <c r="N205" s="17">
        <f>11.5438*10804.5</f>
        <v>124724.98709999998</v>
      </c>
      <c r="O205" s="8">
        <f t="shared" si="264"/>
        <v>93147.42</v>
      </c>
      <c r="P205" s="14">
        <f>F205*0.5</f>
        <v>204995.6883333335</v>
      </c>
      <c r="Q205" s="14">
        <v>0</v>
      </c>
      <c r="R205" s="14">
        <v>0</v>
      </c>
      <c r="S205" s="9">
        <f t="shared" si="265"/>
        <v>93147.42</v>
      </c>
      <c r="T205" s="21">
        <f>3950*I205+25701</f>
        <v>104701</v>
      </c>
      <c r="U205" s="54">
        <f>13.7317*10568</f>
        <v>145116.6056</v>
      </c>
      <c r="V205" s="9">
        <f t="shared" si="266"/>
        <v>93147.42</v>
      </c>
      <c r="W205" s="12">
        <f t="shared" si="267"/>
        <v>93147.42</v>
      </c>
      <c r="X205" s="14">
        <f t="shared" si="268"/>
        <v>93147.42</v>
      </c>
      <c r="Y205" s="12">
        <f t="shared" si="294"/>
        <v>59563.3275</v>
      </c>
      <c r="Z205" s="12">
        <f t="shared" si="269"/>
        <v>88490.049</v>
      </c>
      <c r="AA205" s="12">
        <f t="shared" si="270"/>
        <v>83832.678</v>
      </c>
      <c r="AB205" s="14">
        <v>0</v>
      </c>
      <c r="AC205" s="14">
        <v>0</v>
      </c>
      <c r="AD205" s="14">
        <f t="shared" si="271"/>
        <v>93147.42</v>
      </c>
      <c r="AE205" s="14">
        <f t="shared" si="272"/>
        <v>93147.42</v>
      </c>
      <c r="AF205" s="14">
        <v>0</v>
      </c>
      <c r="AG205" s="7">
        <f t="shared" si="273"/>
        <v>316126.2136666669</v>
      </c>
      <c r="AH205" s="12">
        <f t="shared" si="274"/>
        <v>102462.16200000001</v>
      </c>
      <c r="AI205" s="8">
        <f t="shared" si="275"/>
        <v>93147.42</v>
      </c>
      <c r="AJ205" s="14">
        <f t="shared" si="276"/>
        <v>127611.9654</v>
      </c>
      <c r="AK205" s="14">
        <f t="shared" si="277"/>
        <v>93147.42</v>
      </c>
      <c r="AL205" s="14">
        <f t="shared" si="278"/>
        <v>93147.42</v>
      </c>
      <c r="AM205" s="8">
        <f t="shared" si="296"/>
        <v>102462.16200000001</v>
      </c>
      <c r="AN205" s="8">
        <f t="shared" si="297"/>
        <v>93147.42</v>
      </c>
      <c r="AO205" s="8">
        <f t="shared" si="293"/>
        <v>38743.59</v>
      </c>
      <c r="AP205" s="14">
        <f t="shared" si="279"/>
        <v>93147.42</v>
      </c>
      <c r="AQ205" s="7">
        <f t="shared" si="280"/>
        <v>225804.4383333335</v>
      </c>
      <c r="AR205" s="17">
        <f t="shared" si="281"/>
        <v>38743.59</v>
      </c>
      <c r="AS205" s="14">
        <f t="shared" si="282"/>
        <v>93147.42</v>
      </c>
      <c r="AT205" s="22">
        <f>(2806*6)+0.55*(F205-(F205/I205)*6)+H205*0.4</f>
        <v>191329.6800166668</v>
      </c>
      <c r="AU205" s="8">
        <f t="shared" si="283"/>
        <v>42617.949</v>
      </c>
      <c r="AV205" s="14">
        <f t="shared" si="284"/>
        <v>93147.42</v>
      </c>
      <c r="AW205" s="7">
        <f t="shared" si="285"/>
        <v>88490.049</v>
      </c>
      <c r="AX205" s="8" t="str">
        <f>CONCATENATE(ROUND(L205*0.88,2)," ",K205)</f>
        <v>81969.73 IPPS</v>
      </c>
      <c r="AY205" s="14">
        <v>0</v>
      </c>
      <c r="AZ205" s="14">
        <v>0</v>
      </c>
      <c r="BA205" s="14">
        <v>0</v>
      </c>
      <c r="BB205" s="12">
        <f t="shared" si="250"/>
        <v>93147.42</v>
      </c>
      <c r="BC205" s="12">
        <f t="shared" si="251"/>
        <v>102462.16200000001</v>
      </c>
      <c r="BD205" s="12">
        <f t="shared" si="252"/>
        <v>83832.678</v>
      </c>
      <c r="BE205" s="14">
        <v>0</v>
      </c>
      <c r="BF205" s="14">
        <v>0</v>
      </c>
      <c r="BG205" s="14">
        <v>0</v>
      </c>
      <c r="BH205" s="8">
        <f t="shared" si="287"/>
        <v>111776.904</v>
      </c>
      <c r="BI205" s="14">
        <f t="shared" si="288"/>
        <v>93147.42</v>
      </c>
      <c r="BJ205" s="8">
        <f t="shared" si="289"/>
        <v>88490.049</v>
      </c>
      <c r="BK205" s="14">
        <f t="shared" si="290"/>
        <v>93147.42</v>
      </c>
      <c r="BL205" s="17">
        <f>7062*I205+13872.5*1.02</f>
        <v>155389.95</v>
      </c>
      <c r="BM205" s="14">
        <f t="shared" si="291"/>
        <v>93147.42</v>
      </c>
      <c r="BN205" s="8">
        <f t="shared" si="292"/>
        <v>0</v>
      </c>
      <c r="BO205" s="8">
        <f t="shared" si="262"/>
        <v>316126.2136666669</v>
      </c>
    </row>
    <row r="206" spans="1:67" ht="19.5" customHeight="1">
      <c r="A206" s="10">
        <f t="shared" si="295"/>
        <v>205</v>
      </c>
      <c r="B206" s="6">
        <v>455</v>
      </c>
      <c r="C206" s="11" t="s">
        <v>378</v>
      </c>
      <c r="D206" s="30" t="s">
        <v>259</v>
      </c>
      <c r="E206" s="11" t="s">
        <v>373</v>
      </c>
      <c r="F206" s="42">
        <f>155522.86+H206</f>
        <v>198677.5177272727</v>
      </c>
      <c r="G206" s="11" t="s">
        <v>378</v>
      </c>
      <c r="H206" s="47">
        <f>14384.8859090909*3</f>
        <v>43154.6577272727</v>
      </c>
      <c r="I206" s="6">
        <v>3</v>
      </c>
      <c r="J206" s="8">
        <f t="shared" si="263"/>
        <v>49040.823000000004</v>
      </c>
      <c r="K206" s="52" t="s">
        <v>382</v>
      </c>
      <c r="L206" s="18">
        <v>37723.71</v>
      </c>
      <c r="M206" s="18">
        <v>9495.66</v>
      </c>
      <c r="N206" s="14">
        <f>4.8133*10804.5</f>
        <v>52005.299849999996</v>
      </c>
      <c r="O206" s="8">
        <f t="shared" si="264"/>
        <v>37723.71</v>
      </c>
      <c r="P206" s="14">
        <f>F206*0.5</f>
        <v>99338.75886363635</v>
      </c>
      <c r="Q206" s="14">
        <v>0</v>
      </c>
      <c r="R206" s="14">
        <v>0</v>
      </c>
      <c r="S206" s="9">
        <f t="shared" si="265"/>
        <v>37723.71</v>
      </c>
      <c r="T206" s="21">
        <f>37876+25701</f>
        <v>63577</v>
      </c>
      <c r="U206" s="54">
        <f>4.788*10568</f>
        <v>50599.584</v>
      </c>
      <c r="V206" s="9">
        <f t="shared" si="266"/>
        <v>37723.71</v>
      </c>
      <c r="W206" s="12">
        <f t="shared" si="267"/>
        <v>37723.71</v>
      </c>
      <c r="X206" s="14">
        <f t="shared" si="268"/>
        <v>37723.71</v>
      </c>
      <c r="Y206" s="12">
        <f t="shared" si="294"/>
        <v>22702.68733227272</v>
      </c>
      <c r="Z206" s="12">
        <f t="shared" si="269"/>
        <v>35837.5245</v>
      </c>
      <c r="AA206" s="12">
        <f t="shared" si="270"/>
        <v>33951.339</v>
      </c>
      <c r="AB206" s="14">
        <v>0</v>
      </c>
      <c r="AC206" s="14">
        <v>0</v>
      </c>
      <c r="AD206" s="14">
        <f t="shared" si="271"/>
        <v>37723.71</v>
      </c>
      <c r="AE206" s="14">
        <f t="shared" si="272"/>
        <v>37723.71</v>
      </c>
      <c r="AF206" s="14">
        <v>0</v>
      </c>
      <c r="AG206" s="7">
        <f t="shared" si="273"/>
        <v>169282.52281818178</v>
      </c>
      <c r="AH206" s="12">
        <f t="shared" si="274"/>
        <v>41496.081000000006</v>
      </c>
      <c r="AI206" s="8">
        <f t="shared" si="275"/>
        <v>37723.71</v>
      </c>
      <c r="AJ206" s="14">
        <f t="shared" si="276"/>
        <v>51681.4827</v>
      </c>
      <c r="AK206" s="14">
        <f t="shared" si="277"/>
        <v>37723.71</v>
      </c>
      <c r="AL206" s="14">
        <f t="shared" si="278"/>
        <v>37723.71</v>
      </c>
      <c r="AM206" s="8">
        <f t="shared" si="296"/>
        <v>41496.081000000006</v>
      </c>
      <c r="AN206" s="8">
        <f t="shared" si="297"/>
        <v>37723.71</v>
      </c>
      <c r="AO206" s="8">
        <f t="shared" si="293"/>
        <v>9495.66</v>
      </c>
      <c r="AP206" s="14">
        <f t="shared" si="279"/>
        <v>37723.71</v>
      </c>
      <c r="AQ206" s="7">
        <f t="shared" si="280"/>
        <v>120916.08772727271</v>
      </c>
      <c r="AR206" s="17">
        <f t="shared" si="281"/>
        <v>9495.66</v>
      </c>
      <c r="AS206" s="14">
        <f t="shared" si="282"/>
        <v>37723.71</v>
      </c>
      <c r="AT206" s="22">
        <f>(2806*2)+0.55*(F206-(F206/I206)*2)+H206*0.4</f>
        <v>59298.07467424241</v>
      </c>
      <c r="AU206" s="8">
        <f t="shared" si="283"/>
        <v>10445.226</v>
      </c>
      <c r="AV206" s="14">
        <f t="shared" si="284"/>
        <v>37723.71</v>
      </c>
      <c r="AW206" s="7">
        <f t="shared" si="285"/>
        <v>35837.5245</v>
      </c>
      <c r="AX206" s="7">
        <f aca="true" t="shared" si="298" ref="AX206:AX232">L206*0.88</f>
        <v>33196.8648</v>
      </c>
      <c r="AY206" s="14">
        <v>0</v>
      </c>
      <c r="AZ206" s="14">
        <v>0</v>
      </c>
      <c r="BA206" s="14">
        <v>0</v>
      </c>
      <c r="BB206" s="12">
        <f t="shared" si="250"/>
        <v>37723.71</v>
      </c>
      <c r="BC206" s="12">
        <f t="shared" si="251"/>
        <v>41496.081000000006</v>
      </c>
      <c r="BD206" s="12">
        <f t="shared" si="252"/>
        <v>33951.339</v>
      </c>
      <c r="BE206" s="14">
        <v>0</v>
      </c>
      <c r="BF206" s="14">
        <v>0</v>
      </c>
      <c r="BG206" s="14">
        <v>0</v>
      </c>
      <c r="BH206" s="8">
        <f t="shared" si="287"/>
        <v>45268.452</v>
      </c>
      <c r="BI206" s="14">
        <f t="shared" si="288"/>
        <v>37723.71</v>
      </c>
      <c r="BJ206" s="8">
        <f t="shared" si="289"/>
        <v>35837.5245</v>
      </c>
      <c r="BK206" s="14">
        <f t="shared" si="290"/>
        <v>37723.71</v>
      </c>
      <c r="BL206" s="14">
        <f>4.788*9755+14384.8859090909*1.02</f>
        <v>61379.52362727272</v>
      </c>
      <c r="BM206" s="14">
        <f t="shared" si="291"/>
        <v>37723.71</v>
      </c>
      <c r="BN206" s="8">
        <f t="shared" si="292"/>
        <v>0</v>
      </c>
      <c r="BO206" s="8">
        <f t="shared" si="262"/>
        <v>169282.52281818178</v>
      </c>
    </row>
    <row r="207" spans="1:67" ht="19.5" customHeight="1">
      <c r="A207" s="10">
        <f t="shared" si="295"/>
        <v>206</v>
      </c>
      <c r="B207" s="6">
        <v>453</v>
      </c>
      <c r="C207" s="11" t="s">
        <v>378</v>
      </c>
      <c r="D207" s="30" t="s">
        <v>266</v>
      </c>
      <c r="E207" s="11" t="s">
        <v>373</v>
      </c>
      <c r="F207" s="42">
        <f>209041.406+H207</f>
        <v>285609.65599999996</v>
      </c>
      <c r="G207" s="11" t="s">
        <v>378</v>
      </c>
      <c r="H207" s="47">
        <f>25522.75*3</f>
        <v>76568.25</v>
      </c>
      <c r="I207" s="6">
        <v>8</v>
      </c>
      <c r="J207" s="8">
        <f t="shared" si="263"/>
        <v>93901.652</v>
      </c>
      <c r="K207" s="52" t="s">
        <v>382</v>
      </c>
      <c r="L207" s="1">
        <v>72232.04</v>
      </c>
      <c r="M207" s="18">
        <v>10259.66</v>
      </c>
      <c r="N207" s="14">
        <f>9.407*10804.5</f>
        <v>101637.9315</v>
      </c>
      <c r="O207" s="8">
        <f t="shared" si="264"/>
        <v>72232.04</v>
      </c>
      <c r="P207" s="14">
        <f>F207*0.5</f>
        <v>142804.82799999998</v>
      </c>
      <c r="Q207" s="14">
        <v>0</v>
      </c>
      <c r="R207" s="14">
        <v>0</v>
      </c>
      <c r="S207" s="9">
        <f t="shared" si="265"/>
        <v>72232.04</v>
      </c>
      <c r="T207" s="21">
        <f>37876+25701</f>
        <v>63577</v>
      </c>
      <c r="U207" s="54">
        <f>9.1548*10568</f>
        <v>96747.9264</v>
      </c>
      <c r="V207" s="9">
        <f t="shared" si="266"/>
        <v>72232.04</v>
      </c>
      <c r="W207" s="12">
        <f t="shared" si="267"/>
        <v>72232.04</v>
      </c>
      <c r="X207" s="14">
        <f t="shared" si="268"/>
        <v>72232.04</v>
      </c>
      <c r="Y207" s="12">
        <f t="shared" si="294"/>
        <v>46175.95725</v>
      </c>
      <c r="Z207" s="12">
        <f t="shared" si="269"/>
        <v>68620.438</v>
      </c>
      <c r="AA207" s="12">
        <f t="shared" si="270"/>
        <v>65008.835999999996</v>
      </c>
      <c r="AB207" s="14">
        <v>0</v>
      </c>
      <c r="AC207" s="14">
        <v>0</v>
      </c>
      <c r="AD207" s="14">
        <f t="shared" si="271"/>
        <v>72232.04</v>
      </c>
      <c r="AE207" s="14">
        <f t="shared" si="272"/>
        <v>72232.04</v>
      </c>
      <c r="AF207" s="14">
        <v>0</v>
      </c>
      <c r="AG207" s="7">
        <f t="shared" si="273"/>
        <v>253524.53419999997</v>
      </c>
      <c r="AH207" s="12">
        <f t="shared" si="274"/>
        <v>79455.244</v>
      </c>
      <c r="AI207" s="8">
        <f t="shared" si="275"/>
        <v>72232.04</v>
      </c>
      <c r="AJ207" s="14">
        <f t="shared" si="276"/>
        <v>98957.8948</v>
      </c>
      <c r="AK207" s="14">
        <f t="shared" si="277"/>
        <v>72232.04</v>
      </c>
      <c r="AL207" s="14">
        <f t="shared" si="278"/>
        <v>72232.04</v>
      </c>
      <c r="AM207" s="8">
        <f t="shared" si="296"/>
        <v>79455.244</v>
      </c>
      <c r="AN207" s="8">
        <f t="shared" si="297"/>
        <v>72232.04</v>
      </c>
      <c r="AO207" s="8">
        <f t="shared" si="293"/>
        <v>10259.66</v>
      </c>
      <c r="AP207" s="14">
        <f t="shared" si="279"/>
        <v>72232.04</v>
      </c>
      <c r="AQ207" s="7">
        <f t="shared" si="280"/>
        <v>181088.95299999998</v>
      </c>
      <c r="AR207" s="17">
        <f t="shared" si="281"/>
        <v>10259.66</v>
      </c>
      <c r="AS207" s="14">
        <f t="shared" si="282"/>
        <v>72232.04</v>
      </c>
      <c r="AT207" s="22">
        <f>(2806*4)+0.55*(F207-(F207/I207)*4)+H207*0.4</f>
        <v>120393.95539999999</v>
      </c>
      <c r="AU207" s="8">
        <f t="shared" si="283"/>
        <v>11285.626</v>
      </c>
      <c r="AV207" s="14">
        <f t="shared" si="284"/>
        <v>72232.04</v>
      </c>
      <c r="AW207" s="7">
        <f t="shared" si="285"/>
        <v>68620.438</v>
      </c>
      <c r="AX207" s="7">
        <f t="shared" si="298"/>
        <v>63564.195199999995</v>
      </c>
      <c r="AY207" s="14">
        <v>0</v>
      </c>
      <c r="AZ207" s="14">
        <v>0</v>
      </c>
      <c r="BA207" s="14">
        <v>0</v>
      </c>
      <c r="BB207" s="12">
        <f t="shared" si="250"/>
        <v>72232.04</v>
      </c>
      <c r="BC207" s="12">
        <f t="shared" si="251"/>
        <v>79455.244</v>
      </c>
      <c r="BD207" s="12">
        <f t="shared" si="252"/>
        <v>65008.835999999996</v>
      </c>
      <c r="BE207" s="14">
        <v>0</v>
      </c>
      <c r="BF207" s="14">
        <v>0</v>
      </c>
      <c r="BG207" s="14">
        <v>0</v>
      </c>
      <c r="BH207" s="8">
        <f t="shared" si="287"/>
        <v>86678.44799999999</v>
      </c>
      <c r="BI207" s="14">
        <f t="shared" si="288"/>
        <v>72232.04</v>
      </c>
      <c r="BJ207" s="8">
        <f t="shared" si="289"/>
        <v>68620.438</v>
      </c>
      <c r="BK207" s="14">
        <f t="shared" si="290"/>
        <v>72232.04</v>
      </c>
      <c r="BL207" s="14">
        <f>9.1548*9755+25522.75*1.02</f>
        <v>115338.279</v>
      </c>
      <c r="BM207" s="14">
        <f t="shared" si="291"/>
        <v>72232.04</v>
      </c>
      <c r="BN207" s="8">
        <f t="shared" si="292"/>
        <v>0</v>
      </c>
      <c r="BO207" s="8">
        <f t="shared" si="262"/>
        <v>253524.53419999997</v>
      </c>
    </row>
    <row r="208" spans="1:67" ht="19.5" customHeight="1">
      <c r="A208" s="10">
        <f t="shared" si="295"/>
        <v>207</v>
      </c>
      <c r="B208" s="6">
        <v>43239</v>
      </c>
      <c r="C208" s="11" t="s">
        <v>378</v>
      </c>
      <c r="D208" s="29" t="s">
        <v>154</v>
      </c>
      <c r="E208" s="11" t="s">
        <v>374</v>
      </c>
      <c r="F208" s="42">
        <v>3427</v>
      </c>
      <c r="G208" s="6">
        <v>360</v>
      </c>
      <c r="H208" s="48">
        <v>0</v>
      </c>
      <c r="I208" s="6">
        <v>0</v>
      </c>
      <c r="J208" s="8">
        <f t="shared" si="263"/>
        <v>1052.48</v>
      </c>
      <c r="K208" s="52" t="s">
        <v>383</v>
      </c>
      <c r="L208" s="8">
        <v>809.6</v>
      </c>
      <c r="M208" s="8">
        <v>35</v>
      </c>
      <c r="N208" s="17">
        <v>2150.55</v>
      </c>
      <c r="O208" s="7">
        <f t="shared" si="264"/>
        <v>809.6</v>
      </c>
      <c r="P208" s="8">
        <f>1.25*L208</f>
        <v>1012</v>
      </c>
      <c r="Q208" s="14">
        <v>0</v>
      </c>
      <c r="R208" s="14">
        <v>0</v>
      </c>
      <c r="S208" s="9">
        <f t="shared" si="265"/>
        <v>809.6</v>
      </c>
      <c r="T208" s="3">
        <v>2462</v>
      </c>
      <c r="U208" s="17">
        <f>455*5.9*1.063</f>
        <v>2853.6234999999997</v>
      </c>
      <c r="V208" s="9">
        <f t="shared" si="266"/>
        <v>809.6</v>
      </c>
      <c r="W208" s="12">
        <f t="shared" si="267"/>
        <v>809.6</v>
      </c>
      <c r="X208" s="14">
        <f t="shared" si="268"/>
        <v>809.6</v>
      </c>
      <c r="Y208" s="17">
        <v>1454</v>
      </c>
      <c r="Z208" s="4">
        <f t="shared" si="269"/>
        <v>769.12</v>
      </c>
      <c r="AA208" s="4">
        <f aca="true" t="shared" si="299" ref="AA208:AA232">L208*0.95</f>
        <v>769.12</v>
      </c>
      <c r="AB208" s="14">
        <v>0</v>
      </c>
      <c r="AC208" s="14">
        <v>0</v>
      </c>
      <c r="AD208" s="14">
        <f t="shared" si="271"/>
        <v>809.6</v>
      </c>
      <c r="AE208" s="14">
        <f t="shared" si="272"/>
        <v>809.6</v>
      </c>
      <c r="AF208" s="14">
        <v>0</v>
      </c>
      <c r="AG208" s="7">
        <f aca="true" t="shared" si="300" ref="AG208:AG232">F208*0.7</f>
        <v>2398.8999999999996</v>
      </c>
      <c r="AH208" s="12">
        <f t="shared" si="274"/>
        <v>890.5600000000001</v>
      </c>
      <c r="AI208" s="8">
        <f t="shared" si="275"/>
        <v>809.6</v>
      </c>
      <c r="AJ208" s="14">
        <f aca="true" t="shared" si="301" ref="AJ208:AJ232">L208*1.36</f>
        <v>1101.056</v>
      </c>
      <c r="AK208" s="14">
        <f t="shared" si="277"/>
        <v>809.6</v>
      </c>
      <c r="AL208" s="14">
        <f t="shared" si="278"/>
        <v>809.6</v>
      </c>
      <c r="AM208" s="7">
        <f aca="true" t="shared" si="302" ref="AM208:AM232">L208</f>
        <v>809.6</v>
      </c>
      <c r="AN208" s="7">
        <f t="shared" si="297"/>
        <v>809.6</v>
      </c>
      <c r="AO208" s="7">
        <f aca="true" t="shared" si="303" ref="AO208:AO232">L208*0.8</f>
        <v>647.6800000000001</v>
      </c>
      <c r="AP208" s="14">
        <f t="shared" si="279"/>
        <v>809.6</v>
      </c>
      <c r="AQ208" s="7">
        <f aca="true" t="shared" si="304" ref="AQ208:AQ232">F208*0.5</f>
        <v>1713.5</v>
      </c>
      <c r="AR208" s="7">
        <f aca="true" t="shared" si="305" ref="AR208:AR232">M208*2.5</f>
        <v>87.5</v>
      </c>
      <c r="AS208" s="14">
        <f t="shared" si="282"/>
        <v>809.6</v>
      </c>
      <c r="AT208" s="7">
        <f aca="true" t="shared" si="306" ref="AT208:AT232">L208</f>
        <v>809.6</v>
      </c>
      <c r="AU208" s="7">
        <f t="shared" si="283"/>
        <v>38.5</v>
      </c>
      <c r="AV208" s="14">
        <f t="shared" si="284"/>
        <v>809.6</v>
      </c>
      <c r="AW208" s="7">
        <f t="shared" si="285"/>
        <v>769.12</v>
      </c>
      <c r="AX208" s="7">
        <f t="shared" si="298"/>
        <v>712.448</v>
      </c>
      <c r="AY208" s="14">
        <v>0</v>
      </c>
      <c r="AZ208" s="14">
        <v>0</v>
      </c>
      <c r="BA208" s="14">
        <v>0</v>
      </c>
      <c r="BB208" s="12">
        <f t="shared" si="250"/>
        <v>809.6</v>
      </c>
      <c r="BC208" s="12">
        <f t="shared" si="251"/>
        <v>890.5600000000001</v>
      </c>
      <c r="BD208" s="12">
        <f t="shared" si="252"/>
        <v>728.64</v>
      </c>
      <c r="BE208" s="14">
        <v>0</v>
      </c>
      <c r="BF208" s="14">
        <v>0</v>
      </c>
      <c r="BG208" s="14">
        <v>0</v>
      </c>
      <c r="BH208" s="7">
        <f t="shared" si="287"/>
        <v>971.52</v>
      </c>
      <c r="BI208" s="14">
        <f t="shared" si="288"/>
        <v>809.6</v>
      </c>
      <c r="BJ208" s="8">
        <f t="shared" si="289"/>
        <v>769.12</v>
      </c>
      <c r="BK208" s="14">
        <f t="shared" si="290"/>
        <v>809.6</v>
      </c>
      <c r="BL208" s="17">
        <v>1531</v>
      </c>
      <c r="BM208" s="14">
        <f t="shared" si="291"/>
        <v>809.6</v>
      </c>
      <c r="BN208" s="8">
        <f t="shared" si="292"/>
        <v>0</v>
      </c>
      <c r="BO208" s="8">
        <f t="shared" si="262"/>
        <v>2853.6234999999997</v>
      </c>
    </row>
    <row r="209" spans="1:67" ht="19.5" customHeight="1">
      <c r="A209" s="10">
        <f t="shared" si="295"/>
        <v>208</v>
      </c>
      <c r="B209" s="6">
        <v>45380</v>
      </c>
      <c r="C209" s="11" t="s">
        <v>378</v>
      </c>
      <c r="D209" s="29" t="s">
        <v>50</v>
      </c>
      <c r="E209" s="11" t="s">
        <v>374</v>
      </c>
      <c r="F209" s="42">
        <v>3426</v>
      </c>
      <c r="G209" s="6">
        <v>360</v>
      </c>
      <c r="H209" s="48">
        <v>0</v>
      </c>
      <c r="I209" s="6">
        <v>0</v>
      </c>
      <c r="J209" s="8">
        <f t="shared" si="263"/>
        <v>1348.048</v>
      </c>
      <c r="K209" s="52" t="s">
        <v>383</v>
      </c>
      <c r="L209" s="8">
        <v>1036.96</v>
      </c>
      <c r="M209" s="8">
        <v>30</v>
      </c>
      <c r="N209" s="17">
        <v>2150.55</v>
      </c>
      <c r="O209" s="7">
        <f t="shared" si="264"/>
        <v>1036.96</v>
      </c>
      <c r="P209" s="8">
        <f>1.25*L209</f>
        <v>1296.2</v>
      </c>
      <c r="Q209" s="14">
        <v>0</v>
      </c>
      <c r="R209" s="14">
        <v>0</v>
      </c>
      <c r="S209" s="9">
        <f t="shared" si="265"/>
        <v>1036.96</v>
      </c>
      <c r="T209" s="3">
        <v>1726</v>
      </c>
      <c r="U209" s="17">
        <f>455*5.9*1.063</f>
        <v>2853.6234999999997</v>
      </c>
      <c r="V209" s="9">
        <f t="shared" si="266"/>
        <v>1036.96</v>
      </c>
      <c r="W209" s="12">
        <f t="shared" si="267"/>
        <v>1036.96</v>
      </c>
      <c r="X209" s="14">
        <f t="shared" si="268"/>
        <v>1036.96</v>
      </c>
      <c r="Y209" s="17">
        <v>1454</v>
      </c>
      <c r="Z209" s="4">
        <f t="shared" si="269"/>
        <v>985.112</v>
      </c>
      <c r="AA209" s="4">
        <f t="shared" si="299"/>
        <v>985.112</v>
      </c>
      <c r="AB209" s="14">
        <v>0</v>
      </c>
      <c r="AC209" s="14">
        <v>0</v>
      </c>
      <c r="AD209" s="14">
        <f t="shared" si="271"/>
        <v>1036.96</v>
      </c>
      <c r="AE209" s="14">
        <f t="shared" si="272"/>
        <v>1036.96</v>
      </c>
      <c r="AF209" s="14">
        <v>0</v>
      </c>
      <c r="AG209" s="7">
        <f t="shared" si="300"/>
        <v>2398.2</v>
      </c>
      <c r="AH209" s="12">
        <f t="shared" si="274"/>
        <v>1140.6560000000002</v>
      </c>
      <c r="AI209" s="8">
        <f t="shared" si="275"/>
        <v>1036.96</v>
      </c>
      <c r="AJ209" s="14">
        <f t="shared" si="301"/>
        <v>1410.2656000000002</v>
      </c>
      <c r="AK209" s="14">
        <f t="shared" si="277"/>
        <v>1036.96</v>
      </c>
      <c r="AL209" s="14">
        <f t="shared" si="278"/>
        <v>1036.96</v>
      </c>
      <c r="AM209" s="7">
        <f t="shared" si="302"/>
        <v>1036.96</v>
      </c>
      <c r="AN209" s="7">
        <f t="shared" si="297"/>
        <v>1036.96</v>
      </c>
      <c r="AO209" s="7">
        <f t="shared" si="303"/>
        <v>829.5680000000001</v>
      </c>
      <c r="AP209" s="14">
        <f t="shared" si="279"/>
        <v>1036.96</v>
      </c>
      <c r="AQ209" s="7">
        <f t="shared" si="304"/>
        <v>1713</v>
      </c>
      <c r="AR209" s="7">
        <f t="shared" si="305"/>
        <v>75</v>
      </c>
      <c r="AS209" s="14">
        <f t="shared" si="282"/>
        <v>1036.96</v>
      </c>
      <c r="AT209" s="7">
        <f t="shared" si="306"/>
        <v>1036.96</v>
      </c>
      <c r="AU209" s="7">
        <f t="shared" si="283"/>
        <v>33</v>
      </c>
      <c r="AV209" s="14">
        <f t="shared" si="284"/>
        <v>1036.96</v>
      </c>
      <c r="AW209" s="7">
        <f t="shared" si="285"/>
        <v>985.112</v>
      </c>
      <c r="AX209" s="7">
        <f t="shared" si="298"/>
        <v>912.5248</v>
      </c>
      <c r="AY209" s="14">
        <v>0</v>
      </c>
      <c r="AZ209" s="14">
        <v>0</v>
      </c>
      <c r="BA209" s="14">
        <v>0</v>
      </c>
      <c r="BB209" s="12">
        <f t="shared" si="250"/>
        <v>1036.96</v>
      </c>
      <c r="BC209" s="12">
        <f t="shared" si="251"/>
        <v>1140.6560000000002</v>
      </c>
      <c r="BD209" s="12">
        <f t="shared" si="252"/>
        <v>933.264</v>
      </c>
      <c r="BE209" s="14">
        <v>0</v>
      </c>
      <c r="BF209" s="14">
        <v>0</v>
      </c>
      <c r="BG209" s="14">
        <v>0</v>
      </c>
      <c r="BH209" s="7">
        <f t="shared" si="287"/>
        <v>1244.352</v>
      </c>
      <c r="BI209" s="14">
        <f t="shared" si="288"/>
        <v>1036.96</v>
      </c>
      <c r="BJ209" s="8">
        <f t="shared" si="289"/>
        <v>985.112</v>
      </c>
      <c r="BK209" s="14">
        <f t="shared" si="290"/>
        <v>1036.96</v>
      </c>
      <c r="BL209" s="17">
        <v>1531</v>
      </c>
      <c r="BM209" s="14">
        <f t="shared" si="291"/>
        <v>1036.96</v>
      </c>
      <c r="BN209" s="8">
        <f t="shared" si="292"/>
        <v>0</v>
      </c>
      <c r="BO209" s="8">
        <f t="shared" si="262"/>
        <v>2853.6234999999997</v>
      </c>
    </row>
    <row r="210" spans="1:67" ht="19.5" customHeight="1">
      <c r="A210" s="10">
        <f t="shared" si="295"/>
        <v>209</v>
      </c>
      <c r="B210" s="6">
        <v>45378</v>
      </c>
      <c r="C210" s="11" t="s">
        <v>378</v>
      </c>
      <c r="D210" s="29" t="s">
        <v>155</v>
      </c>
      <c r="E210" s="11" t="s">
        <v>374</v>
      </c>
      <c r="F210" s="42">
        <v>2226</v>
      </c>
      <c r="G210" s="6">
        <v>360</v>
      </c>
      <c r="H210" s="48">
        <v>0</v>
      </c>
      <c r="I210" s="6">
        <v>0</v>
      </c>
      <c r="J210" s="8">
        <f t="shared" si="263"/>
        <v>1031.7450000000001</v>
      </c>
      <c r="K210" s="52" t="s">
        <v>383</v>
      </c>
      <c r="L210" s="8">
        <v>793.65</v>
      </c>
      <c r="M210" s="8">
        <v>50</v>
      </c>
      <c r="N210" s="17">
        <v>2150.55</v>
      </c>
      <c r="O210" s="7">
        <f t="shared" si="264"/>
        <v>793.65</v>
      </c>
      <c r="P210" s="8">
        <f>1.25*L210</f>
        <v>992.0625</v>
      </c>
      <c r="Q210" s="14">
        <v>0</v>
      </c>
      <c r="R210" s="14">
        <v>0</v>
      </c>
      <c r="S210" s="9">
        <f t="shared" si="265"/>
        <v>793.65</v>
      </c>
      <c r="T210" s="3">
        <v>1726</v>
      </c>
      <c r="U210" s="17">
        <f>455*5.9*1.063</f>
        <v>2853.6234999999997</v>
      </c>
      <c r="V210" s="9">
        <f t="shared" si="266"/>
        <v>793.65</v>
      </c>
      <c r="W210" s="12">
        <f t="shared" si="267"/>
        <v>793.65</v>
      </c>
      <c r="X210" s="14">
        <f t="shared" si="268"/>
        <v>793.65</v>
      </c>
      <c r="Y210" s="17">
        <v>1454</v>
      </c>
      <c r="Z210" s="4">
        <f t="shared" si="269"/>
        <v>753.9675</v>
      </c>
      <c r="AA210" s="4">
        <f t="shared" si="299"/>
        <v>753.9675</v>
      </c>
      <c r="AB210" s="14">
        <v>0</v>
      </c>
      <c r="AC210" s="14">
        <v>0</v>
      </c>
      <c r="AD210" s="14">
        <f t="shared" si="271"/>
        <v>793.65</v>
      </c>
      <c r="AE210" s="14">
        <f t="shared" si="272"/>
        <v>793.65</v>
      </c>
      <c r="AF210" s="14">
        <v>0</v>
      </c>
      <c r="AG210" s="7">
        <f t="shared" si="300"/>
        <v>1558.1999999999998</v>
      </c>
      <c r="AH210" s="12">
        <f t="shared" si="274"/>
        <v>873.0150000000001</v>
      </c>
      <c r="AI210" s="8">
        <f t="shared" si="275"/>
        <v>793.65</v>
      </c>
      <c r="AJ210" s="14">
        <f t="shared" si="301"/>
        <v>1079.364</v>
      </c>
      <c r="AK210" s="14">
        <f t="shared" si="277"/>
        <v>793.65</v>
      </c>
      <c r="AL210" s="14">
        <f t="shared" si="278"/>
        <v>793.65</v>
      </c>
      <c r="AM210" s="7">
        <f t="shared" si="302"/>
        <v>793.65</v>
      </c>
      <c r="AN210" s="7">
        <f t="shared" si="297"/>
        <v>793.65</v>
      </c>
      <c r="AO210" s="7">
        <f t="shared" si="303"/>
        <v>634.9200000000001</v>
      </c>
      <c r="AP210" s="14">
        <f t="shared" si="279"/>
        <v>793.65</v>
      </c>
      <c r="AQ210" s="7">
        <f t="shared" si="304"/>
        <v>1113</v>
      </c>
      <c r="AR210" s="7">
        <f t="shared" si="305"/>
        <v>125</v>
      </c>
      <c r="AS210" s="14">
        <f t="shared" si="282"/>
        <v>793.65</v>
      </c>
      <c r="AT210" s="7">
        <f t="shared" si="306"/>
        <v>793.65</v>
      </c>
      <c r="AU210" s="7">
        <f t="shared" si="283"/>
        <v>55.00000000000001</v>
      </c>
      <c r="AV210" s="14">
        <f t="shared" si="284"/>
        <v>793.65</v>
      </c>
      <c r="AW210" s="7">
        <f t="shared" si="285"/>
        <v>753.9675</v>
      </c>
      <c r="AX210" s="7">
        <f t="shared" si="298"/>
        <v>698.412</v>
      </c>
      <c r="AY210" s="14">
        <v>0</v>
      </c>
      <c r="AZ210" s="14">
        <v>0</v>
      </c>
      <c r="BA210" s="14">
        <v>0</v>
      </c>
      <c r="BB210" s="12">
        <f t="shared" si="250"/>
        <v>793.65</v>
      </c>
      <c r="BC210" s="12">
        <f t="shared" si="251"/>
        <v>873.0150000000001</v>
      </c>
      <c r="BD210" s="12">
        <f t="shared" si="252"/>
        <v>714.285</v>
      </c>
      <c r="BE210" s="14">
        <v>0</v>
      </c>
      <c r="BF210" s="14">
        <v>0</v>
      </c>
      <c r="BG210" s="14">
        <v>0</v>
      </c>
      <c r="BH210" s="7">
        <f t="shared" si="287"/>
        <v>952.3799999999999</v>
      </c>
      <c r="BI210" s="14">
        <f t="shared" si="288"/>
        <v>793.65</v>
      </c>
      <c r="BJ210" s="8">
        <f t="shared" si="289"/>
        <v>753.9675</v>
      </c>
      <c r="BK210" s="14">
        <f t="shared" si="290"/>
        <v>793.65</v>
      </c>
      <c r="BL210" s="17">
        <v>1531</v>
      </c>
      <c r="BM210" s="14">
        <f t="shared" si="291"/>
        <v>793.65</v>
      </c>
      <c r="BN210" s="8">
        <f t="shared" si="292"/>
        <v>0</v>
      </c>
      <c r="BO210" s="8">
        <f t="shared" si="262"/>
        <v>2853.6234999999997</v>
      </c>
    </row>
    <row r="211" spans="1:67" ht="19.5" customHeight="1">
      <c r="A211" s="10">
        <f t="shared" si="295"/>
        <v>210</v>
      </c>
      <c r="B211" s="6">
        <v>45385</v>
      </c>
      <c r="C211" s="11" t="s">
        <v>378</v>
      </c>
      <c r="D211" s="29" t="s">
        <v>156</v>
      </c>
      <c r="E211" s="11" t="s">
        <v>374</v>
      </c>
      <c r="F211" s="42">
        <v>2810</v>
      </c>
      <c r="G211" s="6">
        <v>360</v>
      </c>
      <c r="H211" s="48">
        <v>0</v>
      </c>
      <c r="I211" s="6">
        <v>0</v>
      </c>
      <c r="J211" s="8">
        <f t="shared" si="263"/>
        <v>1348.048</v>
      </c>
      <c r="K211" s="52" t="s">
        <v>383</v>
      </c>
      <c r="L211" s="8">
        <v>1036.96</v>
      </c>
      <c r="M211" s="8">
        <v>30</v>
      </c>
      <c r="N211" s="17">
        <v>2150.55</v>
      </c>
      <c r="O211" s="7">
        <f t="shared" si="264"/>
        <v>1036.96</v>
      </c>
      <c r="P211" s="8">
        <f aca="true" t="shared" si="307" ref="P211:P232">1.25*L211</f>
        <v>1296.2</v>
      </c>
      <c r="Q211" s="14">
        <v>0</v>
      </c>
      <c r="R211" s="14">
        <v>0</v>
      </c>
      <c r="S211" s="9">
        <f t="shared" si="265"/>
        <v>1036.96</v>
      </c>
      <c r="T211" s="3">
        <v>1726</v>
      </c>
      <c r="U211" s="17">
        <f>455*5.9*1.063</f>
        <v>2853.6234999999997</v>
      </c>
      <c r="V211" s="9">
        <f t="shared" si="266"/>
        <v>1036.96</v>
      </c>
      <c r="W211" s="12">
        <f t="shared" si="267"/>
        <v>1036.96</v>
      </c>
      <c r="X211" s="14">
        <f t="shared" si="268"/>
        <v>1036.96</v>
      </c>
      <c r="Y211" s="17">
        <v>1454</v>
      </c>
      <c r="Z211" s="4">
        <f t="shared" si="269"/>
        <v>985.112</v>
      </c>
      <c r="AA211" s="4">
        <f t="shared" si="299"/>
        <v>985.112</v>
      </c>
      <c r="AB211" s="14">
        <v>0</v>
      </c>
      <c r="AC211" s="14">
        <v>0</v>
      </c>
      <c r="AD211" s="14">
        <f t="shared" si="271"/>
        <v>1036.96</v>
      </c>
      <c r="AE211" s="14">
        <f t="shared" si="272"/>
        <v>1036.96</v>
      </c>
      <c r="AF211" s="14">
        <v>0</v>
      </c>
      <c r="AG211" s="7">
        <f t="shared" si="300"/>
        <v>1966.9999999999998</v>
      </c>
      <c r="AH211" s="12">
        <f t="shared" si="274"/>
        <v>1140.6560000000002</v>
      </c>
      <c r="AI211" s="8">
        <f t="shared" si="275"/>
        <v>1036.96</v>
      </c>
      <c r="AJ211" s="14">
        <f t="shared" si="301"/>
        <v>1410.2656000000002</v>
      </c>
      <c r="AK211" s="14">
        <f t="shared" si="277"/>
        <v>1036.96</v>
      </c>
      <c r="AL211" s="14">
        <f t="shared" si="278"/>
        <v>1036.96</v>
      </c>
      <c r="AM211" s="7">
        <f t="shared" si="302"/>
        <v>1036.96</v>
      </c>
      <c r="AN211" s="7">
        <f t="shared" si="297"/>
        <v>1036.96</v>
      </c>
      <c r="AO211" s="7">
        <f t="shared" si="303"/>
        <v>829.5680000000001</v>
      </c>
      <c r="AP211" s="14">
        <f t="shared" si="279"/>
        <v>1036.96</v>
      </c>
      <c r="AQ211" s="7">
        <f t="shared" si="304"/>
        <v>1405</v>
      </c>
      <c r="AR211" s="7">
        <f t="shared" si="305"/>
        <v>75</v>
      </c>
      <c r="AS211" s="14">
        <f t="shared" si="282"/>
        <v>1036.96</v>
      </c>
      <c r="AT211" s="7">
        <f t="shared" si="306"/>
        <v>1036.96</v>
      </c>
      <c r="AU211" s="7">
        <f t="shared" si="283"/>
        <v>33</v>
      </c>
      <c r="AV211" s="14">
        <f t="shared" si="284"/>
        <v>1036.96</v>
      </c>
      <c r="AW211" s="7">
        <f t="shared" si="285"/>
        <v>985.112</v>
      </c>
      <c r="AX211" s="7">
        <f t="shared" si="298"/>
        <v>912.5248</v>
      </c>
      <c r="AY211" s="14">
        <v>0</v>
      </c>
      <c r="AZ211" s="14">
        <v>0</v>
      </c>
      <c r="BA211" s="14">
        <v>0</v>
      </c>
      <c r="BB211" s="12">
        <f t="shared" si="250"/>
        <v>1036.96</v>
      </c>
      <c r="BC211" s="12">
        <f t="shared" si="251"/>
        <v>1140.6560000000002</v>
      </c>
      <c r="BD211" s="12">
        <f t="shared" si="252"/>
        <v>933.264</v>
      </c>
      <c r="BE211" s="14">
        <v>0</v>
      </c>
      <c r="BF211" s="14">
        <v>0</v>
      </c>
      <c r="BG211" s="14">
        <v>0</v>
      </c>
      <c r="BH211" s="7">
        <f t="shared" si="287"/>
        <v>1244.352</v>
      </c>
      <c r="BI211" s="14">
        <f t="shared" si="288"/>
        <v>1036.96</v>
      </c>
      <c r="BJ211" s="8">
        <f t="shared" si="289"/>
        <v>985.112</v>
      </c>
      <c r="BK211" s="14">
        <f t="shared" si="290"/>
        <v>1036.96</v>
      </c>
      <c r="BL211" s="17">
        <v>1531</v>
      </c>
      <c r="BM211" s="14">
        <f t="shared" si="291"/>
        <v>1036.96</v>
      </c>
      <c r="BN211" s="8">
        <f t="shared" si="292"/>
        <v>0</v>
      </c>
      <c r="BO211" s="8">
        <f t="shared" si="262"/>
        <v>2853.6234999999997</v>
      </c>
    </row>
    <row r="212" spans="1:67" ht="19.5" customHeight="1">
      <c r="A212" s="10">
        <f t="shared" si="295"/>
        <v>211</v>
      </c>
      <c r="B212" s="6">
        <v>27570</v>
      </c>
      <c r="C212" s="11" t="s">
        <v>378</v>
      </c>
      <c r="D212" s="29" t="s">
        <v>157</v>
      </c>
      <c r="E212" s="11" t="s">
        <v>374</v>
      </c>
      <c r="F212" s="42">
        <v>3300</v>
      </c>
      <c r="G212" s="6">
        <v>360</v>
      </c>
      <c r="H212" s="48">
        <v>0</v>
      </c>
      <c r="I212" s="6">
        <v>0</v>
      </c>
      <c r="J212" s="8">
        <f t="shared" si="263"/>
        <v>1810.0549999999998</v>
      </c>
      <c r="K212" s="52" t="s">
        <v>383</v>
      </c>
      <c r="L212" s="14">
        <v>1392.35</v>
      </c>
      <c r="M212" s="14">
        <v>50</v>
      </c>
      <c r="N212" s="17">
        <v>1178.3</v>
      </c>
      <c r="O212" s="7">
        <f t="shared" si="264"/>
        <v>1392.35</v>
      </c>
      <c r="P212" s="8">
        <f t="shared" si="307"/>
        <v>1740.4375</v>
      </c>
      <c r="Q212" s="14">
        <v>0</v>
      </c>
      <c r="R212" s="14">
        <v>0</v>
      </c>
      <c r="S212" s="9">
        <f t="shared" si="265"/>
        <v>1392.35</v>
      </c>
      <c r="T212" s="3">
        <v>1726</v>
      </c>
      <c r="U212" s="7">
        <f>340*5.9*1.063</f>
        <v>2132.378</v>
      </c>
      <c r="V212" s="9">
        <f t="shared" si="266"/>
        <v>1392.35</v>
      </c>
      <c r="W212" s="12">
        <f t="shared" si="267"/>
        <v>1392.35</v>
      </c>
      <c r="X212" s="14">
        <f t="shared" si="268"/>
        <v>1392.35</v>
      </c>
      <c r="Y212" s="17">
        <v>1093</v>
      </c>
      <c r="Z212" s="4">
        <f t="shared" si="269"/>
        <v>1322.7324999999998</v>
      </c>
      <c r="AA212" s="4">
        <f t="shared" si="299"/>
        <v>1322.7324999999998</v>
      </c>
      <c r="AB212" s="14">
        <v>0</v>
      </c>
      <c r="AC212" s="14">
        <v>0</v>
      </c>
      <c r="AD212" s="14">
        <f t="shared" si="271"/>
        <v>1392.35</v>
      </c>
      <c r="AE212" s="14">
        <f t="shared" si="272"/>
        <v>1392.35</v>
      </c>
      <c r="AF212" s="14">
        <v>0</v>
      </c>
      <c r="AG212" s="7">
        <f t="shared" si="300"/>
        <v>2310</v>
      </c>
      <c r="AH212" s="12">
        <f t="shared" si="274"/>
        <v>1531.585</v>
      </c>
      <c r="AI212" s="8">
        <f t="shared" si="275"/>
        <v>1392.35</v>
      </c>
      <c r="AJ212" s="14">
        <f t="shared" si="301"/>
        <v>1893.596</v>
      </c>
      <c r="AK212" s="14">
        <f t="shared" si="277"/>
        <v>1392.35</v>
      </c>
      <c r="AL212" s="14">
        <f t="shared" si="278"/>
        <v>1392.35</v>
      </c>
      <c r="AM212" s="7">
        <f t="shared" si="302"/>
        <v>1392.35</v>
      </c>
      <c r="AN212" s="7">
        <f t="shared" si="297"/>
        <v>1392.35</v>
      </c>
      <c r="AO212" s="7">
        <f t="shared" si="303"/>
        <v>1113.8799999999999</v>
      </c>
      <c r="AP212" s="14">
        <f t="shared" si="279"/>
        <v>1392.35</v>
      </c>
      <c r="AQ212" s="7">
        <f t="shared" si="304"/>
        <v>1650</v>
      </c>
      <c r="AR212" s="7">
        <f t="shared" si="305"/>
        <v>125</v>
      </c>
      <c r="AS212" s="14">
        <f t="shared" si="282"/>
        <v>1392.35</v>
      </c>
      <c r="AT212" s="7">
        <f t="shared" si="306"/>
        <v>1392.35</v>
      </c>
      <c r="AU212" s="7">
        <f t="shared" si="283"/>
        <v>55.00000000000001</v>
      </c>
      <c r="AV212" s="14">
        <f t="shared" si="284"/>
        <v>1392.35</v>
      </c>
      <c r="AW212" s="7">
        <f t="shared" si="285"/>
        <v>1322.7324999999998</v>
      </c>
      <c r="AX212" s="7">
        <f t="shared" si="298"/>
        <v>1225.268</v>
      </c>
      <c r="AY212" s="14">
        <v>0</v>
      </c>
      <c r="AZ212" s="14">
        <v>0</v>
      </c>
      <c r="BA212" s="14">
        <v>0</v>
      </c>
      <c r="BB212" s="12">
        <f t="shared" si="250"/>
        <v>1392.35</v>
      </c>
      <c r="BC212" s="12">
        <f t="shared" si="251"/>
        <v>1531.585</v>
      </c>
      <c r="BD212" s="12">
        <f t="shared" si="252"/>
        <v>1253.115</v>
      </c>
      <c r="BE212" s="14">
        <v>0</v>
      </c>
      <c r="BF212" s="14">
        <v>0</v>
      </c>
      <c r="BG212" s="14">
        <v>0</v>
      </c>
      <c r="BH212" s="7">
        <f t="shared" si="287"/>
        <v>1670.82</v>
      </c>
      <c r="BI212" s="14">
        <f t="shared" si="288"/>
        <v>1392.35</v>
      </c>
      <c r="BJ212" s="14">
        <f t="shared" si="289"/>
        <v>1322.7324999999998</v>
      </c>
      <c r="BK212" s="14">
        <f t="shared" si="290"/>
        <v>1392.35</v>
      </c>
      <c r="BL212" s="17">
        <v>1531</v>
      </c>
      <c r="BM212" s="14">
        <f t="shared" si="291"/>
        <v>1392.35</v>
      </c>
      <c r="BN212" s="14">
        <f t="shared" si="292"/>
        <v>0</v>
      </c>
      <c r="BO212" s="14">
        <f t="shared" si="262"/>
        <v>2310</v>
      </c>
    </row>
    <row r="213" spans="1:67" ht="19.5" customHeight="1">
      <c r="A213" s="10">
        <f t="shared" si="295"/>
        <v>212</v>
      </c>
      <c r="B213" s="6">
        <v>43235</v>
      </c>
      <c r="C213" s="11" t="s">
        <v>378</v>
      </c>
      <c r="D213" s="29" t="s">
        <v>158</v>
      </c>
      <c r="E213" s="11" t="s">
        <v>374</v>
      </c>
      <c r="F213" s="42">
        <v>2027</v>
      </c>
      <c r="G213" s="6">
        <v>360</v>
      </c>
      <c r="H213" s="48">
        <v>0</v>
      </c>
      <c r="I213" s="6">
        <v>0</v>
      </c>
      <c r="J213" s="8">
        <f t="shared" si="263"/>
        <v>1052.48</v>
      </c>
      <c r="K213" s="52" t="s">
        <v>383</v>
      </c>
      <c r="L213" s="8">
        <v>809.6</v>
      </c>
      <c r="M213" s="8">
        <v>35</v>
      </c>
      <c r="N213" s="17">
        <v>1178.3</v>
      </c>
      <c r="O213" s="7">
        <f t="shared" si="264"/>
        <v>809.6</v>
      </c>
      <c r="P213" s="8">
        <f t="shared" si="307"/>
        <v>1012</v>
      </c>
      <c r="Q213" s="14">
        <v>0</v>
      </c>
      <c r="R213" s="14">
        <v>0</v>
      </c>
      <c r="S213" s="9">
        <f t="shared" si="265"/>
        <v>809.6</v>
      </c>
      <c r="T213" s="3">
        <v>2462</v>
      </c>
      <c r="U213" s="7">
        <f>340*5.9*1.063</f>
        <v>2132.378</v>
      </c>
      <c r="V213" s="9">
        <f t="shared" si="266"/>
        <v>809.6</v>
      </c>
      <c r="W213" s="12">
        <f t="shared" si="267"/>
        <v>809.6</v>
      </c>
      <c r="X213" s="14">
        <f t="shared" si="268"/>
        <v>809.6</v>
      </c>
      <c r="Y213" s="17">
        <v>1093</v>
      </c>
      <c r="Z213" s="4">
        <f t="shared" si="269"/>
        <v>769.12</v>
      </c>
      <c r="AA213" s="4">
        <f t="shared" si="299"/>
        <v>769.12</v>
      </c>
      <c r="AB213" s="14">
        <v>0</v>
      </c>
      <c r="AC213" s="14">
        <v>0</v>
      </c>
      <c r="AD213" s="14">
        <f t="shared" si="271"/>
        <v>809.6</v>
      </c>
      <c r="AE213" s="14">
        <f t="shared" si="272"/>
        <v>809.6</v>
      </c>
      <c r="AF213" s="14">
        <v>0</v>
      </c>
      <c r="AG213" s="7">
        <f t="shared" si="300"/>
        <v>1418.8999999999999</v>
      </c>
      <c r="AH213" s="12">
        <f t="shared" si="274"/>
        <v>890.5600000000001</v>
      </c>
      <c r="AI213" s="8">
        <f t="shared" si="275"/>
        <v>809.6</v>
      </c>
      <c r="AJ213" s="14">
        <f t="shared" si="301"/>
        <v>1101.056</v>
      </c>
      <c r="AK213" s="14">
        <f t="shared" si="277"/>
        <v>809.6</v>
      </c>
      <c r="AL213" s="14">
        <f t="shared" si="278"/>
        <v>809.6</v>
      </c>
      <c r="AM213" s="7">
        <f t="shared" si="302"/>
        <v>809.6</v>
      </c>
      <c r="AN213" s="7">
        <f t="shared" si="297"/>
        <v>809.6</v>
      </c>
      <c r="AO213" s="7">
        <f t="shared" si="303"/>
        <v>647.6800000000001</v>
      </c>
      <c r="AP213" s="14">
        <f t="shared" si="279"/>
        <v>809.6</v>
      </c>
      <c r="AQ213" s="7">
        <f t="shared" si="304"/>
        <v>1013.5</v>
      </c>
      <c r="AR213" s="7">
        <f t="shared" si="305"/>
        <v>87.5</v>
      </c>
      <c r="AS213" s="14">
        <f t="shared" si="282"/>
        <v>809.6</v>
      </c>
      <c r="AT213" s="7">
        <f t="shared" si="306"/>
        <v>809.6</v>
      </c>
      <c r="AU213" s="7">
        <f t="shared" si="283"/>
        <v>38.5</v>
      </c>
      <c r="AV213" s="14">
        <f t="shared" si="284"/>
        <v>809.6</v>
      </c>
      <c r="AW213" s="7">
        <f t="shared" si="285"/>
        <v>769.12</v>
      </c>
      <c r="AX213" s="7">
        <f t="shared" si="298"/>
        <v>712.448</v>
      </c>
      <c r="AY213" s="14">
        <v>0</v>
      </c>
      <c r="AZ213" s="14">
        <v>0</v>
      </c>
      <c r="BA213" s="14">
        <v>0</v>
      </c>
      <c r="BB213" s="12">
        <f t="shared" si="250"/>
        <v>809.6</v>
      </c>
      <c r="BC213" s="12">
        <f t="shared" si="251"/>
        <v>890.5600000000001</v>
      </c>
      <c r="BD213" s="12">
        <f t="shared" si="252"/>
        <v>728.64</v>
      </c>
      <c r="BE213" s="14">
        <v>0</v>
      </c>
      <c r="BF213" s="14">
        <v>0</v>
      </c>
      <c r="BG213" s="14">
        <v>0</v>
      </c>
      <c r="BH213" s="7">
        <f t="shared" si="287"/>
        <v>971.52</v>
      </c>
      <c r="BI213" s="14">
        <f t="shared" si="288"/>
        <v>809.6</v>
      </c>
      <c r="BJ213" s="8">
        <f t="shared" si="289"/>
        <v>769.12</v>
      </c>
      <c r="BK213" s="14">
        <f t="shared" si="290"/>
        <v>809.6</v>
      </c>
      <c r="BL213" s="17">
        <v>1531</v>
      </c>
      <c r="BM213" s="14">
        <f t="shared" si="291"/>
        <v>809.6</v>
      </c>
      <c r="BN213" s="8">
        <f t="shared" si="292"/>
        <v>0</v>
      </c>
      <c r="BO213" s="8">
        <f t="shared" si="262"/>
        <v>2462</v>
      </c>
    </row>
    <row r="214" spans="1:67" ht="19.5" customHeight="1">
      <c r="A214" s="10">
        <f t="shared" si="295"/>
        <v>213</v>
      </c>
      <c r="B214" s="6">
        <v>43450</v>
      </c>
      <c r="C214" s="11" t="s">
        <v>378</v>
      </c>
      <c r="D214" s="29" t="s">
        <v>98</v>
      </c>
      <c r="E214" s="11" t="s">
        <v>374</v>
      </c>
      <c r="F214" s="42">
        <v>2027</v>
      </c>
      <c r="G214" s="6">
        <v>360</v>
      </c>
      <c r="H214" s="48">
        <v>0</v>
      </c>
      <c r="I214" s="6">
        <v>0</v>
      </c>
      <c r="J214" s="8">
        <f t="shared" si="263"/>
        <v>1052.48</v>
      </c>
      <c r="K214" s="52" t="s">
        <v>383</v>
      </c>
      <c r="L214" s="8">
        <v>809.6</v>
      </c>
      <c r="M214" s="8">
        <v>30</v>
      </c>
      <c r="N214" s="17">
        <v>1178.3</v>
      </c>
      <c r="O214" s="7">
        <f t="shared" si="264"/>
        <v>809.6</v>
      </c>
      <c r="P214" s="8">
        <f t="shared" si="307"/>
        <v>1012</v>
      </c>
      <c r="Q214" s="14">
        <v>0</v>
      </c>
      <c r="R214" s="14">
        <v>0</v>
      </c>
      <c r="S214" s="9">
        <f t="shared" si="265"/>
        <v>809.6</v>
      </c>
      <c r="T214" s="3">
        <v>1726</v>
      </c>
      <c r="U214" s="7">
        <f>340*5.9*1.063</f>
        <v>2132.378</v>
      </c>
      <c r="V214" s="9">
        <f t="shared" si="266"/>
        <v>809.6</v>
      </c>
      <c r="W214" s="12">
        <f t="shared" si="267"/>
        <v>809.6</v>
      </c>
      <c r="X214" s="14">
        <f t="shared" si="268"/>
        <v>809.6</v>
      </c>
      <c r="Y214" s="17">
        <v>1093</v>
      </c>
      <c r="Z214" s="4">
        <f t="shared" si="269"/>
        <v>769.12</v>
      </c>
      <c r="AA214" s="4">
        <f t="shared" si="299"/>
        <v>769.12</v>
      </c>
      <c r="AB214" s="14">
        <v>0</v>
      </c>
      <c r="AC214" s="14">
        <v>0</v>
      </c>
      <c r="AD214" s="14">
        <f t="shared" si="271"/>
        <v>809.6</v>
      </c>
      <c r="AE214" s="14">
        <f t="shared" si="272"/>
        <v>809.6</v>
      </c>
      <c r="AF214" s="14">
        <v>0</v>
      </c>
      <c r="AG214" s="7">
        <f t="shared" si="300"/>
        <v>1418.8999999999999</v>
      </c>
      <c r="AH214" s="12">
        <f t="shared" si="274"/>
        <v>890.5600000000001</v>
      </c>
      <c r="AI214" s="8">
        <f t="shared" si="275"/>
        <v>809.6</v>
      </c>
      <c r="AJ214" s="14">
        <f t="shared" si="301"/>
        <v>1101.056</v>
      </c>
      <c r="AK214" s="14">
        <f t="shared" si="277"/>
        <v>809.6</v>
      </c>
      <c r="AL214" s="14">
        <f t="shared" si="278"/>
        <v>809.6</v>
      </c>
      <c r="AM214" s="7">
        <f t="shared" si="302"/>
        <v>809.6</v>
      </c>
      <c r="AN214" s="7">
        <f t="shared" si="297"/>
        <v>809.6</v>
      </c>
      <c r="AO214" s="7">
        <f t="shared" si="303"/>
        <v>647.6800000000001</v>
      </c>
      <c r="AP214" s="14">
        <f t="shared" si="279"/>
        <v>809.6</v>
      </c>
      <c r="AQ214" s="7">
        <f t="shared" si="304"/>
        <v>1013.5</v>
      </c>
      <c r="AR214" s="7">
        <f t="shared" si="305"/>
        <v>75</v>
      </c>
      <c r="AS214" s="14">
        <f t="shared" si="282"/>
        <v>809.6</v>
      </c>
      <c r="AT214" s="7">
        <f t="shared" si="306"/>
        <v>809.6</v>
      </c>
      <c r="AU214" s="7">
        <f t="shared" si="283"/>
        <v>33</v>
      </c>
      <c r="AV214" s="14">
        <f t="shared" si="284"/>
        <v>809.6</v>
      </c>
      <c r="AW214" s="7">
        <f t="shared" si="285"/>
        <v>769.12</v>
      </c>
      <c r="AX214" s="7">
        <f t="shared" si="298"/>
        <v>712.448</v>
      </c>
      <c r="AY214" s="14">
        <v>0</v>
      </c>
      <c r="AZ214" s="14">
        <v>0</v>
      </c>
      <c r="BA214" s="14">
        <v>0</v>
      </c>
      <c r="BB214" s="12">
        <f t="shared" si="250"/>
        <v>809.6</v>
      </c>
      <c r="BC214" s="12">
        <f t="shared" si="251"/>
        <v>890.5600000000001</v>
      </c>
      <c r="BD214" s="12">
        <f t="shared" si="252"/>
        <v>728.64</v>
      </c>
      <c r="BE214" s="14">
        <v>0</v>
      </c>
      <c r="BF214" s="14">
        <v>0</v>
      </c>
      <c r="BG214" s="14">
        <v>0</v>
      </c>
      <c r="BH214" s="7">
        <f t="shared" si="287"/>
        <v>971.52</v>
      </c>
      <c r="BI214" s="14">
        <f t="shared" si="288"/>
        <v>809.6</v>
      </c>
      <c r="BJ214" s="8">
        <f t="shared" si="289"/>
        <v>769.12</v>
      </c>
      <c r="BK214" s="14">
        <f t="shared" si="290"/>
        <v>809.6</v>
      </c>
      <c r="BL214" s="17">
        <v>1531</v>
      </c>
      <c r="BM214" s="14">
        <f t="shared" si="291"/>
        <v>809.6</v>
      </c>
      <c r="BN214" s="8">
        <f t="shared" si="292"/>
        <v>0</v>
      </c>
      <c r="BO214" s="8">
        <f t="shared" si="262"/>
        <v>2132.378</v>
      </c>
    </row>
    <row r="215" spans="1:67" ht="19.5" customHeight="1">
      <c r="A215" s="10">
        <f t="shared" si="295"/>
        <v>214</v>
      </c>
      <c r="B215" s="6">
        <v>47562</v>
      </c>
      <c r="C215" s="11" t="s">
        <v>378</v>
      </c>
      <c r="D215" s="29" t="s">
        <v>161</v>
      </c>
      <c r="E215" s="11" t="s">
        <v>374</v>
      </c>
      <c r="F215" s="42">
        <v>8805</v>
      </c>
      <c r="G215" s="6">
        <v>360</v>
      </c>
      <c r="H215" s="48">
        <v>0</v>
      </c>
      <c r="I215" s="6">
        <v>0</v>
      </c>
      <c r="J215" s="8">
        <f t="shared" si="263"/>
        <v>6578.572</v>
      </c>
      <c r="K215" s="52" t="s">
        <v>383</v>
      </c>
      <c r="L215" s="8">
        <v>5060.44</v>
      </c>
      <c r="M215" s="8">
        <v>155</v>
      </c>
      <c r="N215" s="14">
        <v>3907</v>
      </c>
      <c r="O215" s="7">
        <f t="shared" si="264"/>
        <v>5060.44</v>
      </c>
      <c r="P215" s="8">
        <f t="shared" si="307"/>
        <v>6325.549999999999</v>
      </c>
      <c r="Q215" s="14">
        <v>0</v>
      </c>
      <c r="R215" s="14">
        <v>0</v>
      </c>
      <c r="S215" s="9">
        <f t="shared" si="265"/>
        <v>5060.44</v>
      </c>
      <c r="T215" s="4">
        <v>6305</v>
      </c>
      <c r="U215" s="7">
        <f>1015*5.9*1.063</f>
        <v>6365.7755</v>
      </c>
      <c r="V215" s="9">
        <f t="shared" si="266"/>
        <v>5060.44</v>
      </c>
      <c r="W215" s="12">
        <f t="shared" si="267"/>
        <v>5060.44</v>
      </c>
      <c r="X215" s="14">
        <f t="shared" si="268"/>
        <v>5060.44</v>
      </c>
      <c r="Y215" s="17">
        <v>3462</v>
      </c>
      <c r="Z215" s="4">
        <f t="shared" si="269"/>
        <v>4807.418</v>
      </c>
      <c r="AA215" s="4">
        <f t="shared" si="299"/>
        <v>4807.418</v>
      </c>
      <c r="AB215" s="14">
        <v>0</v>
      </c>
      <c r="AC215" s="14">
        <v>0</v>
      </c>
      <c r="AD215" s="14">
        <f t="shared" si="271"/>
        <v>5060.44</v>
      </c>
      <c r="AE215" s="14">
        <f t="shared" si="272"/>
        <v>5060.44</v>
      </c>
      <c r="AF215" s="14">
        <v>0</v>
      </c>
      <c r="AG215" s="7">
        <f t="shared" si="300"/>
        <v>6163.5</v>
      </c>
      <c r="AH215" s="12">
        <f t="shared" si="274"/>
        <v>5566.484</v>
      </c>
      <c r="AI215" s="8">
        <f t="shared" si="275"/>
        <v>5060.44</v>
      </c>
      <c r="AJ215" s="14">
        <f t="shared" si="301"/>
        <v>6882.1984</v>
      </c>
      <c r="AK215" s="14">
        <f t="shared" si="277"/>
        <v>5060.44</v>
      </c>
      <c r="AL215" s="14">
        <f t="shared" si="278"/>
        <v>5060.44</v>
      </c>
      <c r="AM215" s="7">
        <f t="shared" si="302"/>
        <v>5060.44</v>
      </c>
      <c r="AN215" s="7">
        <f t="shared" si="297"/>
        <v>5060.44</v>
      </c>
      <c r="AO215" s="7">
        <f t="shared" si="303"/>
        <v>4048.352</v>
      </c>
      <c r="AP215" s="14">
        <f t="shared" si="279"/>
        <v>5060.44</v>
      </c>
      <c r="AQ215" s="7">
        <f t="shared" si="304"/>
        <v>4402.5</v>
      </c>
      <c r="AR215" s="7">
        <f t="shared" si="305"/>
        <v>387.5</v>
      </c>
      <c r="AS215" s="14">
        <f t="shared" si="282"/>
        <v>5060.44</v>
      </c>
      <c r="AT215" s="7">
        <f t="shared" si="306"/>
        <v>5060.44</v>
      </c>
      <c r="AU215" s="7">
        <f t="shared" si="283"/>
        <v>170.5</v>
      </c>
      <c r="AV215" s="14">
        <f t="shared" si="284"/>
        <v>5060.44</v>
      </c>
      <c r="AW215" s="7">
        <f t="shared" si="285"/>
        <v>4807.418</v>
      </c>
      <c r="AX215" s="7">
        <f t="shared" si="298"/>
        <v>4453.187199999999</v>
      </c>
      <c r="AY215" s="14">
        <v>0</v>
      </c>
      <c r="AZ215" s="14">
        <v>0</v>
      </c>
      <c r="BA215" s="14">
        <v>0</v>
      </c>
      <c r="BB215" s="12">
        <f t="shared" si="250"/>
        <v>5060.44</v>
      </c>
      <c r="BC215" s="12">
        <f t="shared" si="251"/>
        <v>5566.484</v>
      </c>
      <c r="BD215" s="12">
        <f t="shared" si="252"/>
        <v>4554.396</v>
      </c>
      <c r="BE215" s="14">
        <v>0</v>
      </c>
      <c r="BF215" s="14">
        <v>0</v>
      </c>
      <c r="BG215" s="14">
        <v>0</v>
      </c>
      <c r="BH215" s="7">
        <f t="shared" si="287"/>
        <v>6072.527999999999</v>
      </c>
      <c r="BI215" s="14">
        <f t="shared" si="288"/>
        <v>5060.44</v>
      </c>
      <c r="BJ215" s="8">
        <f t="shared" si="289"/>
        <v>4807.418</v>
      </c>
      <c r="BK215" s="14">
        <f t="shared" si="290"/>
        <v>5060.44</v>
      </c>
      <c r="BL215" s="17">
        <v>6139</v>
      </c>
      <c r="BM215" s="14">
        <f t="shared" si="291"/>
        <v>5060.44</v>
      </c>
      <c r="BN215" s="8">
        <f t="shared" si="292"/>
        <v>0</v>
      </c>
      <c r="BO215" s="8">
        <f t="shared" si="262"/>
        <v>6882.1984</v>
      </c>
    </row>
    <row r="216" spans="1:67" ht="19.5" customHeight="1">
      <c r="A216" s="10">
        <f t="shared" si="295"/>
        <v>215</v>
      </c>
      <c r="B216" s="6">
        <v>49650</v>
      </c>
      <c r="C216" s="11" t="s">
        <v>378</v>
      </c>
      <c r="D216" s="29" t="s">
        <v>226</v>
      </c>
      <c r="E216" s="11" t="s">
        <v>374</v>
      </c>
      <c r="F216" s="42">
        <v>8805</v>
      </c>
      <c r="G216" s="6">
        <v>360</v>
      </c>
      <c r="H216" s="48">
        <v>0</v>
      </c>
      <c r="I216" s="6">
        <v>0</v>
      </c>
      <c r="J216" s="8">
        <f t="shared" si="263"/>
        <v>6578.572</v>
      </c>
      <c r="K216" s="52" t="s">
        <v>383</v>
      </c>
      <c r="L216" s="8">
        <v>5060.44</v>
      </c>
      <c r="M216" s="8">
        <v>155</v>
      </c>
      <c r="N216" s="7">
        <v>3655.4</v>
      </c>
      <c r="O216" s="7">
        <f t="shared" si="264"/>
        <v>5060.44</v>
      </c>
      <c r="P216" s="8">
        <f t="shared" si="307"/>
        <v>6325.549999999999</v>
      </c>
      <c r="Q216" s="14">
        <v>0</v>
      </c>
      <c r="R216" s="14">
        <v>0</v>
      </c>
      <c r="S216" s="9">
        <f t="shared" si="265"/>
        <v>5060.44</v>
      </c>
      <c r="T216" s="4">
        <v>3241</v>
      </c>
      <c r="U216" s="7">
        <f>643*5.9*1.063</f>
        <v>4032.7031</v>
      </c>
      <c r="V216" s="9">
        <f t="shared" si="266"/>
        <v>5060.44</v>
      </c>
      <c r="W216" s="12">
        <f t="shared" si="267"/>
        <v>5060.44</v>
      </c>
      <c r="X216" s="14">
        <f t="shared" si="268"/>
        <v>5060.44</v>
      </c>
      <c r="Y216" s="17">
        <v>2369</v>
      </c>
      <c r="Z216" s="4">
        <f t="shared" si="269"/>
        <v>4807.418</v>
      </c>
      <c r="AA216" s="4">
        <f t="shared" si="299"/>
        <v>4807.418</v>
      </c>
      <c r="AB216" s="14">
        <v>0</v>
      </c>
      <c r="AC216" s="14">
        <v>0</v>
      </c>
      <c r="AD216" s="14">
        <f t="shared" si="271"/>
        <v>5060.44</v>
      </c>
      <c r="AE216" s="14">
        <f t="shared" si="272"/>
        <v>5060.44</v>
      </c>
      <c r="AF216" s="14">
        <v>0</v>
      </c>
      <c r="AG216" s="7">
        <f t="shared" si="300"/>
        <v>6163.5</v>
      </c>
      <c r="AH216" s="12">
        <f t="shared" si="274"/>
        <v>5566.484</v>
      </c>
      <c r="AI216" s="8">
        <f t="shared" si="275"/>
        <v>5060.44</v>
      </c>
      <c r="AJ216" s="14">
        <f t="shared" si="301"/>
        <v>6882.1984</v>
      </c>
      <c r="AK216" s="14">
        <f t="shared" si="277"/>
        <v>5060.44</v>
      </c>
      <c r="AL216" s="14">
        <f t="shared" si="278"/>
        <v>5060.44</v>
      </c>
      <c r="AM216" s="7">
        <f t="shared" si="302"/>
        <v>5060.44</v>
      </c>
      <c r="AN216" s="7">
        <f t="shared" si="297"/>
        <v>5060.44</v>
      </c>
      <c r="AO216" s="7">
        <f t="shared" si="303"/>
        <v>4048.352</v>
      </c>
      <c r="AP216" s="14">
        <f t="shared" si="279"/>
        <v>5060.44</v>
      </c>
      <c r="AQ216" s="7">
        <f t="shared" si="304"/>
        <v>4402.5</v>
      </c>
      <c r="AR216" s="7">
        <f t="shared" si="305"/>
        <v>387.5</v>
      </c>
      <c r="AS216" s="14">
        <f t="shared" si="282"/>
        <v>5060.44</v>
      </c>
      <c r="AT216" s="7">
        <f t="shared" si="306"/>
        <v>5060.44</v>
      </c>
      <c r="AU216" s="7">
        <f t="shared" si="283"/>
        <v>170.5</v>
      </c>
      <c r="AV216" s="14">
        <f t="shared" si="284"/>
        <v>5060.44</v>
      </c>
      <c r="AW216" s="7">
        <f t="shared" si="285"/>
        <v>4807.418</v>
      </c>
      <c r="AX216" s="7">
        <f t="shared" si="298"/>
        <v>4453.187199999999</v>
      </c>
      <c r="AY216" s="14">
        <v>0</v>
      </c>
      <c r="AZ216" s="14">
        <v>0</v>
      </c>
      <c r="BA216" s="14">
        <v>0</v>
      </c>
      <c r="BB216" s="12">
        <f t="shared" si="250"/>
        <v>5060.44</v>
      </c>
      <c r="BC216" s="12">
        <f t="shared" si="251"/>
        <v>5566.484</v>
      </c>
      <c r="BD216" s="12">
        <f t="shared" si="252"/>
        <v>4554.396</v>
      </c>
      <c r="BE216" s="14">
        <v>0</v>
      </c>
      <c r="BF216" s="14">
        <v>0</v>
      </c>
      <c r="BG216" s="14">
        <v>0</v>
      </c>
      <c r="BH216" s="7">
        <f t="shared" si="287"/>
        <v>6072.527999999999</v>
      </c>
      <c r="BI216" s="14">
        <f t="shared" si="288"/>
        <v>5060.44</v>
      </c>
      <c r="BJ216" s="8">
        <f t="shared" si="289"/>
        <v>4807.418</v>
      </c>
      <c r="BK216" s="14">
        <f t="shared" si="290"/>
        <v>5060.44</v>
      </c>
      <c r="BL216" s="17">
        <v>6139</v>
      </c>
      <c r="BM216" s="14">
        <f t="shared" si="291"/>
        <v>5060.44</v>
      </c>
      <c r="BN216" s="8">
        <f t="shared" si="292"/>
        <v>0</v>
      </c>
      <c r="BO216" s="8">
        <f t="shared" si="262"/>
        <v>6882.1984</v>
      </c>
    </row>
    <row r="217" spans="1:67" ht="19.5" customHeight="1">
      <c r="A217" s="10">
        <f t="shared" si="295"/>
        <v>216</v>
      </c>
      <c r="B217" s="6">
        <v>19301</v>
      </c>
      <c r="C217" s="11" t="s">
        <v>378</v>
      </c>
      <c r="D217" s="30" t="s">
        <v>163</v>
      </c>
      <c r="E217" s="11" t="s">
        <v>374</v>
      </c>
      <c r="F217" s="42">
        <v>4767</v>
      </c>
      <c r="G217" s="6">
        <v>360</v>
      </c>
      <c r="H217" s="48">
        <v>0</v>
      </c>
      <c r="I217" s="6">
        <v>0</v>
      </c>
      <c r="J217" s="8">
        <f t="shared" si="263"/>
        <v>4105.062</v>
      </c>
      <c r="K217" s="52" t="s">
        <v>383</v>
      </c>
      <c r="L217" s="8">
        <v>3157.74</v>
      </c>
      <c r="M217" s="8">
        <v>70</v>
      </c>
      <c r="N217" s="17">
        <v>3341.55</v>
      </c>
      <c r="O217" s="7">
        <f t="shared" si="264"/>
        <v>3157.74</v>
      </c>
      <c r="P217" s="8">
        <f t="shared" si="307"/>
        <v>3947.1749999999997</v>
      </c>
      <c r="Q217" s="14">
        <v>0</v>
      </c>
      <c r="R217" s="14">
        <v>0</v>
      </c>
      <c r="S217" s="9">
        <f t="shared" si="265"/>
        <v>3157.74</v>
      </c>
      <c r="T217" s="3">
        <v>3030</v>
      </c>
      <c r="U217" s="14">
        <f>520*5.9*1.063</f>
        <v>3261.2839999999997</v>
      </c>
      <c r="V217" s="9">
        <f t="shared" si="266"/>
        <v>3157.74</v>
      </c>
      <c r="W217" s="12">
        <f t="shared" si="267"/>
        <v>3157.74</v>
      </c>
      <c r="X217" s="14">
        <f t="shared" si="268"/>
        <v>3157.74</v>
      </c>
      <c r="Y217" s="14">
        <v>1820</v>
      </c>
      <c r="Z217" s="4">
        <f t="shared" si="269"/>
        <v>2999.8529999999996</v>
      </c>
      <c r="AA217" s="4">
        <f t="shared" si="299"/>
        <v>2999.8529999999996</v>
      </c>
      <c r="AB217" s="14">
        <v>0</v>
      </c>
      <c r="AC217" s="14">
        <v>0</v>
      </c>
      <c r="AD217" s="14">
        <f t="shared" si="271"/>
        <v>3157.74</v>
      </c>
      <c r="AE217" s="14">
        <f t="shared" si="272"/>
        <v>3157.74</v>
      </c>
      <c r="AF217" s="14">
        <v>0</v>
      </c>
      <c r="AG217" s="7">
        <f t="shared" si="300"/>
        <v>3336.8999999999996</v>
      </c>
      <c r="AH217" s="12">
        <f t="shared" si="274"/>
        <v>3473.514</v>
      </c>
      <c r="AI217" s="8">
        <f t="shared" si="275"/>
        <v>3157.74</v>
      </c>
      <c r="AJ217" s="14">
        <f t="shared" si="301"/>
        <v>4294.5264</v>
      </c>
      <c r="AK217" s="14">
        <f t="shared" si="277"/>
        <v>3157.74</v>
      </c>
      <c r="AL217" s="14">
        <f t="shared" si="278"/>
        <v>3157.74</v>
      </c>
      <c r="AM217" s="7">
        <f t="shared" si="302"/>
        <v>3157.74</v>
      </c>
      <c r="AN217" s="7">
        <f t="shared" si="297"/>
        <v>3157.74</v>
      </c>
      <c r="AO217" s="7">
        <f t="shared" si="303"/>
        <v>2526.192</v>
      </c>
      <c r="AP217" s="14">
        <f t="shared" si="279"/>
        <v>3157.74</v>
      </c>
      <c r="AQ217" s="7">
        <f t="shared" si="304"/>
        <v>2383.5</v>
      </c>
      <c r="AR217" s="7">
        <f t="shared" si="305"/>
        <v>175</v>
      </c>
      <c r="AS217" s="14">
        <f t="shared" si="282"/>
        <v>3157.74</v>
      </c>
      <c r="AT217" s="7">
        <f t="shared" si="306"/>
        <v>3157.74</v>
      </c>
      <c r="AU217" s="7">
        <f t="shared" si="283"/>
        <v>77</v>
      </c>
      <c r="AV217" s="14">
        <f t="shared" si="284"/>
        <v>3157.74</v>
      </c>
      <c r="AW217" s="7">
        <f t="shared" si="285"/>
        <v>2999.8529999999996</v>
      </c>
      <c r="AX217" s="7">
        <f t="shared" si="298"/>
        <v>2778.8111999999996</v>
      </c>
      <c r="AY217" s="14">
        <v>0</v>
      </c>
      <c r="AZ217" s="14">
        <v>0</v>
      </c>
      <c r="BA217" s="14">
        <v>0</v>
      </c>
      <c r="BB217" s="12">
        <f t="shared" si="250"/>
        <v>3157.74</v>
      </c>
      <c r="BC217" s="12">
        <f t="shared" si="251"/>
        <v>3473.514</v>
      </c>
      <c r="BD217" s="12">
        <f t="shared" si="252"/>
        <v>2841.966</v>
      </c>
      <c r="BE217" s="14">
        <v>0</v>
      </c>
      <c r="BF217" s="14">
        <v>0</v>
      </c>
      <c r="BG217" s="14">
        <v>0</v>
      </c>
      <c r="BH217" s="7">
        <f t="shared" si="287"/>
        <v>3789.2879999999996</v>
      </c>
      <c r="BI217" s="14">
        <f t="shared" si="288"/>
        <v>3157.74</v>
      </c>
      <c r="BJ217" s="8">
        <f t="shared" si="289"/>
        <v>2999.8529999999996</v>
      </c>
      <c r="BK217" s="14">
        <f t="shared" si="290"/>
        <v>3157.74</v>
      </c>
      <c r="BL217" s="14">
        <v>3067</v>
      </c>
      <c r="BM217" s="14">
        <f t="shared" si="291"/>
        <v>3157.74</v>
      </c>
      <c r="BN217" s="8">
        <f t="shared" si="292"/>
        <v>0</v>
      </c>
      <c r="BO217" s="8">
        <f t="shared" si="262"/>
        <v>4294.5264</v>
      </c>
    </row>
    <row r="218" spans="1:67" ht="19.5" customHeight="1">
      <c r="A218" s="10">
        <f t="shared" si="295"/>
        <v>217</v>
      </c>
      <c r="B218" s="6">
        <v>45331</v>
      </c>
      <c r="C218" s="11" t="s">
        <v>378</v>
      </c>
      <c r="D218" s="30" t="s">
        <v>164</v>
      </c>
      <c r="E218" s="11" t="s">
        <v>374</v>
      </c>
      <c r="F218" s="42">
        <v>1392</v>
      </c>
      <c r="G218" s="6">
        <v>360</v>
      </c>
      <c r="H218" s="48">
        <v>0</v>
      </c>
      <c r="I218" s="6">
        <v>0</v>
      </c>
      <c r="J218" s="8">
        <f t="shared" si="263"/>
        <v>1031.7450000000001</v>
      </c>
      <c r="K218" s="52" t="s">
        <v>383</v>
      </c>
      <c r="L218" s="8">
        <v>793.65</v>
      </c>
      <c r="M218" s="8">
        <v>50</v>
      </c>
      <c r="N218" s="17">
        <v>1178.3</v>
      </c>
      <c r="O218" s="7">
        <f t="shared" si="264"/>
        <v>793.65</v>
      </c>
      <c r="P218" s="8">
        <f t="shared" si="307"/>
        <v>992.0625</v>
      </c>
      <c r="Q218" s="14">
        <v>0</v>
      </c>
      <c r="R218" s="14">
        <v>0</v>
      </c>
      <c r="S218" s="9">
        <f t="shared" si="265"/>
        <v>793.65</v>
      </c>
      <c r="T218" s="3">
        <v>1726</v>
      </c>
      <c r="U218" s="7">
        <f>340*5.9*1.063</f>
        <v>2132.378</v>
      </c>
      <c r="V218" s="9">
        <f t="shared" si="266"/>
        <v>793.65</v>
      </c>
      <c r="W218" s="12">
        <f t="shared" si="267"/>
        <v>793.65</v>
      </c>
      <c r="X218" s="14">
        <f t="shared" si="268"/>
        <v>793.65</v>
      </c>
      <c r="Y218" s="17">
        <v>1093</v>
      </c>
      <c r="Z218" s="4">
        <f t="shared" si="269"/>
        <v>753.9675</v>
      </c>
      <c r="AA218" s="4">
        <f t="shared" si="299"/>
        <v>753.9675</v>
      </c>
      <c r="AB218" s="14">
        <v>0</v>
      </c>
      <c r="AC218" s="14">
        <v>0</v>
      </c>
      <c r="AD218" s="14">
        <f t="shared" si="271"/>
        <v>793.65</v>
      </c>
      <c r="AE218" s="14">
        <f t="shared" si="272"/>
        <v>793.65</v>
      </c>
      <c r="AF218" s="14">
        <v>0</v>
      </c>
      <c r="AG218" s="7">
        <f t="shared" si="300"/>
        <v>974.4</v>
      </c>
      <c r="AH218" s="12">
        <f t="shared" si="274"/>
        <v>873.0150000000001</v>
      </c>
      <c r="AI218" s="8">
        <f t="shared" si="275"/>
        <v>793.65</v>
      </c>
      <c r="AJ218" s="14">
        <f t="shared" si="301"/>
        <v>1079.364</v>
      </c>
      <c r="AK218" s="14">
        <f t="shared" si="277"/>
        <v>793.65</v>
      </c>
      <c r="AL218" s="14">
        <f t="shared" si="278"/>
        <v>793.65</v>
      </c>
      <c r="AM218" s="7">
        <f t="shared" si="302"/>
        <v>793.65</v>
      </c>
      <c r="AN218" s="7">
        <f t="shared" si="297"/>
        <v>793.65</v>
      </c>
      <c r="AO218" s="7">
        <f t="shared" si="303"/>
        <v>634.9200000000001</v>
      </c>
      <c r="AP218" s="14">
        <f t="shared" si="279"/>
        <v>793.65</v>
      </c>
      <c r="AQ218" s="7">
        <f t="shared" si="304"/>
        <v>696</v>
      </c>
      <c r="AR218" s="7">
        <f t="shared" si="305"/>
        <v>125</v>
      </c>
      <c r="AS218" s="14">
        <f t="shared" si="282"/>
        <v>793.65</v>
      </c>
      <c r="AT218" s="7">
        <f t="shared" si="306"/>
        <v>793.65</v>
      </c>
      <c r="AU218" s="7">
        <f t="shared" si="283"/>
        <v>55.00000000000001</v>
      </c>
      <c r="AV218" s="14">
        <f t="shared" si="284"/>
        <v>793.65</v>
      </c>
      <c r="AW218" s="7">
        <f t="shared" si="285"/>
        <v>753.9675</v>
      </c>
      <c r="AX218" s="7">
        <f t="shared" si="298"/>
        <v>698.412</v>
      </c>
      <c r="AY218" s="14">
        <v>0</v>
      </c>
      <c r="AZ218" s="14">
        <v>0</v>
      </c>
      <c r="BA218" s="14">
        <v>0</v>
      </c>
      <c r="BB218" s="12">
        <f aca="true" t="shared" si="308" ref="BB218:BB263">L218</f>
        <v>793.65</v>
      </c>
      <c r="BC218" s="12">
        <f aca="true" t="shared" si="309" ref="BC218:BC263">L218*1.1</f>
        <v>873.0150000000001</v>
      </c>
      <c r="BD218" s="12">
        <f aca="true" t="shared" si="310" ref="BD218:BD263">L218*0.9</f>
        <v>714.285</v>
      </c>
      <c r="BE218" s="14">
        <v>0</v>
      </c>
      <c r="BF218" s="14">
        <v>0</v>
      </c>
      <c r="BG218" s="14">
        <v>0</v>
      </c>
      <c r="BH218" s="7">
        <f t="shared" si="287"/>
        <v>952.3799999999999</v>
      </c>
      <c r="BI218" s="14">
        <f t="shared" si="288"/>
        <v>793.65</v>
      </c>
      <c r="BJ218" s="8">
        <f t="shared" si="289"/>
        <v>753.9675</v>
      </c>
      <c r="BK218" s="14">
        <f t="shared" si="290"/>
        <v>793.65</v>
      </c>
      <c r="BL218" s="17">
        <v>986</v>
      </c>
      <c r="BM218" s="14">
        <f t="shared" si="291"/>
        <v>793.65</v>
      </c>
      <c r="BN218" s="8">
        <f>MIN(L218:BM218)</f>
        <v>0</v>
      </c>
      <c r="BO218" s="8">
        <f>MAX(L218:BM218)</f>
        <v>2132.378</v>
      </c>
    </row>
    <row r="219" spans="1:67" ht="19.5" customHeight="1">
      <c r="A219" s="10">
        <f t="shared" si="295"/>
        <v>218</v>
      </c>
      <c r="B219" s="6">
        <v>45381</v>
      </c>
      <c r="C219" s="11" t="s">
        <v>378</v>
      </c>
      <c r="D219" s="30" t="s">
        <v>165</v>
      </c>
      <c r="E219" s="11" t="s">
        <v>374</v>
      </c>
      <c r="F219" s="42">
        <v>2226</v>
      </c>
      <c r="G219" s="6">
        <v>360</v>
      </c>
      <c r="H219" s="48">
        <v>0</v>
      </c>
      <c r="I219" s="6">
        <v>0</v>
      </c>
      <c r="J219" s="8">
        <f t="shared" si="263"/>
        <v>1348.048</v>
      </c>
      <c r="K219" s="52" t="s">
        <v>383</v>
      </c>
      <c r="L219" s="8">
        <v>1036.96</v>
      </c>
      <c r="M219" s="8">
        <v>30</v>
      </c>
      <c r="N219" s="17">
        <v>2150.55</v>
      </c>
      <c r="O219" s="7">
        <f t="shared" si="264"/>
        <v>1036.96</v>
      </c>
      <c r="P219" s="8">
        <f t="shared" si="307"/>
        <v>1296.2</v>
      </c>
      <c r="Q219" s="14">
        <v>0</v>
      </c>
      <c r="R219" s="14">
        <v>0</v>
      </c>
      <c r="S219" s="9">
        <f t="shared" si="265"/>
        <v>1036.96</v>
      </c>
      <c r="T219" s="3">
        <v>1726</v>
      </c>
      <c r="U219" s="17">
        <f>455*5.9*1.063</f>
        <v>2853.6234999999997</v>
      </c>
      <c r="V219" s="9">
        <f t="shared" si="266"/>
        <v>1036.96</v>
      </c>
      <c r="W219" s="12">
        <f t="shared" si="267"/>
        <v>1036.96</v>
      </c>
      <c r="X219" s="14">
        <f t="shared" si="268"/>
        <v>1036.96</v>
      </c>
      <c r="Y219" s="17">
        <v>1454</v>
      </c>
      <c r="Z219" s="4">
        <f t="shared" si="269"/>
        <v>985.112</v>
      </c>
      <c r="AA219" s="4">
        <f t="shared" si="299"/>
        <v>985.112</v>
      </c>
      <c r="AB219" s="14">
        <v>0</v>
      </c>
      <c r="AC219" s="14">
        <v>0</v>
      </c>
      <c r="AD219" s="14">
        <f t="shared" si="271"/>
        <v>1036.96</v>
      </c>
      <c r="AE219" s="14">
        <f t="shared" si="272"/>
        <v>1036.96</v>
      </c>
      <c r="AF219" s="14">
        <v>0</v>
      </c>
      <c r="AG219" s="7">
        <f t="shared" si="300"/>
        <v>1558.1999999999998</v>
      </c>
      <c r="AH219" s="12">
        <f t="shared" si="274"/>
        <v>1140.6560000000002</v>
      </c>
      <c r="AI219" s="8">
        <f t="shared" si="275"/>
        <v>1036.96</v>
      </c>
      <c r="AJ219" s="14">
        <f t="shared" si="301"/>
        <v>1410.2656000000002</v>
      </c>
      <c r="AK219" s="14">
        <f t="shared" si="277"/>
        <v>1036.96</v>
      </c>
      <c r="AL219" s="14">
        <f t="shared" si="278"/>
        <v>1036.96</v>
      </c>
      <c r="AM219" s="7">
        <f t="shared" si="302"/>
        <v>1036.96</v>
      </c>
      <c r="AN219" s="7">
        <f t="shared" si="297"/>
        <v>1036.96</v>
      </c>
      <c r="AO219" s="7">
        <f t="shared" si="303"/>
        <v>829.5680000000001</v>
      </c>
      <c r="AP219" s="14">
        <f t="shared" si="279"/>
        <v>1036.96</v>
      </c>
      <c r="AQ219" s="7">
        <f t="shared" si="304"/>
        <v>1113</v>
      </c>
      <c r="AR219" s="7">
        <f t="shared" si="305"/>
        <v>75</v>
      </c>
      <c r="AS219" s="14">
        <f t="shared" si="282"/>
        <v>1036.96</v>
      </c>
      <c r="AT219" s="7">
        <f t="shared" si="306"/>
        <v>1036.96</v>
      </c>
      <c r="AU219" s="7">
        <f t="shared" si="283"/>
        <v>33</v>
      </c>
      <c r="AV219" s="14">
        <f t="shared" si="284"/>
        <v>1036.96</v>
      </c>
      <c r="AW219" s="7">
        <f t="shared" si="285"/>
        <v>985.112</v>
      </c>
      <c r="AX219" s="7">
        <f t="shared" si="298"/>
        <v>912.5248</v>
      </c>
      <c r="AY219" s="14">
        <v>0</v>
      </c>
      <c r="AZ219" s="14">
        <v>0</v>
      </c>
      <c r="BA219" s="14">
        <v>0</v>
      </c>
      <c r="BB219" s="12">
        <f t="shared" si="308"/>
        <v>1036.96</v>
      </c>
      <c r="BC219" s="12">
        <f t="shared" si="309"/>
        <v>1140.6560000000002</v>
      </c>
      <c r="BD219" s="12">
        <f t="shared" si="310"/>
        <v>933.264</v>
      </c>
      <c r="BE219" s="14">
        <v>0</v>
      </c>
      <c r="BF219" s="14">
        <v>0</v>
      </c>
      <c r="BG219" s="14">
        <v>0</v>
      </c>
      <c r="BH219" s="7">
        <f t="shared" si="287"/>
        <v>1244.352</v>
      </c>
      <c r="BI219" s="14">
        <f t="shared" si="288"/>
        <v>1036.96</v>
      </c>
      <c r="BJ219" s="8">
        <f t="shared" si="289"/>
        <v>985.112</v>
      </c>
      <c r="BK219" s="14">
        <f t="shared" si="290"/>
        <v>1036.96</v>
      </c>
      <c r="BL219" s="17">
        <v>1531</v>
      </c>
      <c r="BM219" s="14">
        <f t="shared" si="291"/>
        <v>1036.96</v>
      </c>
      <c r="BN219" s="8">
        <f aca="true" t="shared" si="311" ref="BN219:BN232">MIN(N219:BM219)</f>
        <v>0</v>
      </c>
      <c r="BO219" s="8">
        <f aca="true" t="shared" si="312" ref="BO219:BO250">MAX(N219:BM219)</f>
        <v>2853.6234999999997</v>
      </c>
    </row>
    <row r="220" spans="1:67" ht="19.5" customHeight="1">
      <c r="A220" s="10">
        <f t="shared" si="295"/>
        <v>219</v>
      </c>
      <c r="B220" s="6">
        <v>64430</v>
      </c>
      <c r="C220" s="11" t="s">
        <v>378</v>
      </c>
      <c r="D220" s="29" t="s">
        <v>102</v>
      </c>
      <c r="E220" s="11" t="s">
        <v>374</v>
      </c>
      <c r="F220" s="42">
        <v>2022</v>
      </c>
      <c r="G220" s="6">
        <v>360</v>
      </c>
      <c r="H220" s="48">
        <v>0</v>
      </c>
      <c r="I220" s="6">
        <v>0</v>
      </c>
      <c r="J220" s="8">
        <f t="shared" si="263"/>
        <v>1069.198</v>
      </c>
      <c r="K220" s="52" t="s">
        <v>383</v>
      </c>
      <c r="L220" s="8">
        <v>822.46</v>
      </c>
      <c r="M220" s="8">
        <v>7</v>
      </c>
      <c r="N220" s="17">
        <v>1178.3</v>
      </c>
      <c r="O220" s="7">
        <f t="shared" si="264"/>
        <v>822.46</v>
      </c>
      <c r="P220" s="8">
        <f t="shared" si="307"/>
        <v>1028.075</v>
      </c>
      <c r="Q220" s="14">
        <v>0</v>
      </c>
      <c r="R220" s="14">
        <v>0</v>
      </c>
      <c r="S220" s="9">
        <f t="shared" si="265"/>
        <v>822.46</v>
      </c>
      <c r="T220" s="3">
        <v>1726</v>
      </c>
      <c r="U220" s="7">
        <f>340*5.9*1.063</f>
        <v>2132.378</v>
      </c>
      <c r="V220" s="9">
        <f t="shared" si="266"/>
        <v>822.46</v>
      </c>
      <c r="W220" s="12">
        <f t="shared" si="267"/>
        <v>822.46</v>
      </c>
      <c r="X220" s="14">
        <f t="shared" si="268"/>
        <v>822.46</v>
      </c>
      <c r="Y220" s="17">
        <v>1093</v>
      </c>
      <c r="Z220" s="4">
        <f t="shared" si="269"/>
        <v>781.337</v>
      </c>
      <c r="AA220" s="4">
        <f t="shared" si="299"/>
        <v>781.337</v>
      </c>
      <c r="AB220" s="14">
        <v>0</v>
      </c>
      <c r="AC220" s="14">
        <v>0</v>
      </c>
      <c r="AD220" s="14">
        <f t="shared" si="271"/>
        <v>822.46</v>
      </c>
      <c r="AE220" s="14">
        <f t="shared" si="272"/>
        <v>822.46</v>
      </c>
      <c r="AF220" s="14">
        <v>0</v>
      </c>
      <c r="AG220" s="7">
        <f t="shared" si="300"/>
        <v>1415.3999999999999</v>
      </c>
      <c r="AH220" s="12">
        <f t="shared" si="274"/>
        <v>904.7060000000001</v>
      </c>
      <c r="AI220" s="8">
        <f t="shared" si="275"/>
        <v>822.46</v>
      </c>
      <c r="AJ220" s="14">
        <f t="shared" si="301"/>
        <v>1118.5456000000001</v>
      </c>
      <c r="AK220" s="14">
        <f t="shared" si="277"/>
        <v>822.46</v>
      </c>
      <c r="AL220" s="14">
        <f t="shared" si="278"/>
        <v>822.46</v>
      </c>
      <c r="AM220" s="7">
        <f t="shared" si="302"/>
        <v>822.46</v>
      </c>
      <c r="AN220" s="7">
        <f t="shared" si="297"/>
        <v>822.46</v>
      </c>
      <c r="AO220" s="7">
        <f t="shared" si="303"/>
        <v>657.9680000000001</v>
      </c>
      <c r="AP220" s="14">
        <f t="shared" si="279"/>
        <v>822.46</v>
      </c>
      <c r="AQ220" s="7">
        <f t="shared" si="304"/>
        <v>1011</v>
      </c>
      <c r="AR220" s="7">
        <f t="shared" si="305"/>
        <v>17.5</v>
      </c>
      <c r="AS220" s="14">
        <f t="shared" si="282"/>
        <v>822.46</v>
      </c>
      <c r="AT220" s="7">
        <f t="shared" si="306"/>
        <v>822.46</v>
      </c>
      <c r="AU220" s="7">
        <f t="shared" si="283"/>
        <v>7.700000000000001</v>
      </c>
      <c r="AV220" s="14">
        <f t="shared" si="284"/>
        <v>822.46</v>
      </c>
      <c r="AW220" s="7">
        <f t="shared" si="285"/>
        <v>781.337</v>
      </c>
      <c r="AX220" s="7">
        <f t="shared" si="298"/>
        <v>723.7648</v>
      </c>
      <c r="AY220" s="14">
        <v>0</v>
      </c>
      <c r="AZ220" s="14">
        <v>0</v>
      </c>
      <c r="BA220" s="14">
        <v>0</v>
      </c>
      <c r="BB220" s="12">
        <f t="shared" si="308"/>
        <v>822.46</v>
      </c>
      <c r="BC220" s="12">
        <f t="shared" si="309"/>
        <v>904.7060000000001</v>
      </c>
      <c r="BD220" s="12">
        <f t="shared" si="310"/>
        <v>740.214</v>
      </c>
      <c r="BE220" s="14">
        <v>0</v>
      </c>
      <c r="BF220" s="14">
        <v>0</v>
      </c>
      <c r="BG220" s="14">
        <v>0</v>
      </c>
      <c r="BH220" s="7">
        <f t="shared" si="287"/>
        <v>986.952</v>
      </c>
      <c r="BI220" s="14">
        <f t="shared" si="288"/>
        <v>822.46</v>
      </c>
      <c r="BJ220" s="8">
        <f t="shared" si="289"/>
        <v>781.337</v>
      </c>
      <c r="BK220" s="14">
        <f t="shared" si="290"/>
        <v>822.46</v>
      </c>
      <c r="BL220" s="17">
        <v>986</v>
      </c>
      <c r="BM220" s="14">
        <f t="shared" si="291"/>
        <v>822.46</v>
      </c>
      <c r="BN220" s="8">
        <f t="shared" si="311"/>
        <v>0</v>
      </c>
      <c r="BO220" s="8">
        <f t="shared" si="312"/>
        <v>2132.378</v>
      </c>
    </row>
    <row r="221" spans="1:67" ht="19.5" customHeight="1">
      <c r="A221" s="10">
        <f t="shared" si="295"/>
        <v>220</v>
      </c>
      <c r="B221" s="6">
        <v>64721</v>
      </c>
      <c r="C221" s="11" t="s">
        <v>378</v>
      </c>
      <c r="D221" s="29" t="s">
        <v>51</v>
      </c>
      <c r="E221" s="11" t="s">
        <v>374</v>
      </c>
      <c r="F221" s="42">
        <v>3339</v>
      </c>
      <c r="G221" s="6">
        <v>360</v>
      </c>
      <c r="H221" s="48">
        <v>0</v>
      </c>
      <c r="I221" s="6">
        <v>0</v>
      </c>
      <c r="J221" s="8">
        <f t="shared" si="263"/>
        <v>2280.7070000000003</v>
      </c>
      <c r="K221" s="52" t="s">
        <v>383</v>
      </c>
      <c r="L221" s="8">
        <v>1754.39</v>
      </c>
      <c r="M221" s="8">
        <v>60</v>
      </c>
      <c r="N221" s="17">
        <v>2150.55</v>
      </c>
      <c r="O221" s="7">
        <f t="shared" si="264"/>
        <v>1754.39</v>
      </c>
      <c r="P221" s="8">
        <f t="shared" si="307"/>
        <v>2192.9875</v>
      </c>
      <c r="Q221" s="14">
        <v>0</v>
      </c>
      <c r="R221" s="14">
        <v>0</v>
      </c>
      <c r="S221" s="9">
        <f t="shared" si="265"/>
        <v>1754.39</v>
      </c>
      <c r="T221" s="3">
        <v>2462</v>
      </c>
      <c r="U221" s="17">
        <f>455*5.9*1.063</f>
        <v>2853.6234999999997</v>
      </c>
      <c r="V221" s="9">
        <f t="shared" si="266"/>
        <v>1754.39</v>
      </c>
      <c r="W221" s="12">
        <f t="shared" si="267"/>
        <v>1754.39</v>
      </c>
      <c r="X221" s="14">
        <f t="shared" si="268"/>
        <v>1754.39</v>
      </c>
      <c r="Y221" s="17">
        <v>1454</v>
      </c>
      <c r="Z221" s="4">
        <f t="shared" si="269"/>
        <v>1666.6705</v>
      </c>
      <c r="AA221" s="4">
        <f t="shared" si="299"/>
        <v>1666.6705</v>
      </c>
      <c r="AB221" s="14">
        <v>0</v>
      </c>
      <c r="AC221" s="14">
        <v>0</v>
      </c>
      <c r="AD221" s="14">
        <f t="shared" si="271"/>
        <v>1754.39</v>
      </c>
      <c r="AE221" s="14">
        <f t="shared" si="272"/>
        <v>1754.39</v>
      </c>
      <c r="AF221" s="14">
        <v>0</v>
      </c>
      <c r="AG221" s="7">
        <f t="shared" si="300"/>
        <v>2337.2999999999997</v>
      </c>
      <c r="AH221" s="12">
        <f t="shared" si="274"/>
        <v>1929.8290000000002</v>
      </c>
      <c r="AI221" s="8">
        <f t="shared" si="275"/>
        <v>1754.39</v>
      </c>
      <c r="AJ221" s="14">
        <f t="shared" si="301"/>
        <v>2385.9704</v>
      </c>
      <c r="AK221" s="14">
        <f t="shared" si="277"/>
        <v>1754.39</v>
      </c>
      <c r="AL221" s="14">
        <f t="shared" si="278"/>
        <v>1754.39</v>
      </c>
      <c r="AM221" s="7">
        <f t="shared" si="302"/>
        <v>1754.39</v>
      </c>
      <c r="AN221" s="7">
        <f t="shared" si="297"/>
        <v>1754.39</v>
      </c>
      <c r="AO221" s="7">
        <f t="shared" si="303"/>
        <v>1403.5120000000002</v>
      </c>
      <c r="AP221" s="14">
        <f t="shared" si="279"/>
        <v>1754.39</v>
      </c>
      <c r="AQ221" s="7">
        <f t="shared" si="304"/>
        <v>1669.5</v>
      </c>
      <c r="AR221" s="7">
        <f t="shared" si="305"/>
        <v>150</v>
      </c>
      <c r="AS221" s="14">
        <f t="shared" si="282"/>
        <v>1754.39</v>
      </c>
      <c r="AT221" s="7">
        <f t="shared" si="306"/>
        <v>1754.39</v>
      </c>
      <c r="AU221" s="7">
        <f t="shared" si="283"/>
        <v>66</v>
      </c>
      <c r="AV221" s="14">
        <f t="shared" si="284"/>
        <v>1754.39</v>
      </c>
      <c r="AW221" s="7">
        <f t="shared" si="285"/>
        <v>1666.6705</v>
      </c>
      <c r="AX221" s="7">
        <f t="shared" si="298"/>
        <v>1543.8632</v>
      </c>
      <c r="AY221" s="14">
        <v>0</v>
      </c>
      <c r="AZ221" s="14">
        <v>0</v>
      </c>
      <c r="BA221" s="14">
        <v>0</v>
      </c>
      <c r="BB221" s="12">
        <f t="shared" si="308"/>
        <v>1754.39</v>
      </c>
      <c r="BC221" s="12">
        <f t="shared" si="309"/>
        <v>1929.8290000000002</v>
      </c>
      <c r="BD221" s="12">
        <f t="shared" si="310"/>
        <v>1578.951</v>
      </c>
      <c r="BE221" s="14">
        <v>0</v>
      </c>
      <c r="BF221" s="14">
        <v>0</v>
      </c>
      <c r="BG221" s="14">
        <v>0</v>
      </c>
      <c r="BH221" s="7">
        <f t="shared" si="287"/>
        <v>2105.268</v>
      </c>
      <c r="BI221" s="14">
        <f t="shared" si="288"/>
        <v>1754.39</v>
      </c>
      <c r="BJ221" s="8">
        <f t="shared" si="289"/>
        <v>1666.6705</v>
      </c>
      <c r="BK221" s="14">
        <f t="shared" si="290"/>
        <v>1754.39</v>
      </c>
      <c r="BL221" s="14">
        <v>2978</v>
      </c>
      <c r="BM221" s="14">
        <f t="shared" si="291"/>
        <v>1754.39</v>
      </c>
      <c r="BN221" s="8">
        <f t="shared" si="311"/>
        <v>0</v>
      </c>
      <c r="BO221" s="8">
        <f t="shared" si="312"/>
        <v>2978</v>
      </c>
    </row>
    <row r="222" spans="1:67" ht="19.5" customHeight="1">
      <c r="A222" s="10">
        <f t="shared" si="295"/>
        <v>221</v>
      </c>
      <c r="B222" s="6">
        <v>95972</v>
      </c>
      <c r="C222" s="11" t="s">
        <v>378</v>
      </c>
      <c r="D222" s="30" t="s">
        <v>171</v>
      </c>
      <c r="E222" s="11" t="s">
        <v>374</v>
      </c>
      <c r="F222" s="42">
        <v>352</v>
      </c>
      <c r="G222" s="6">
        <v>360</v>
      </c>
      <c r="H222" s="48">
        <v>0</v>
      </c>
      <c r="I222" s="6">
        <v>0</v>
      </c>
      <c r="J222" s="8">
        <f t="shared" si="263"/>
        <v>130.40300000000002</v>
      </c>
      <c r="K222" s="52" t="s">
        <v>383</v>
      </c>
      <c r="L222" s="8">
        <v>100.31</v>
      </c>
      <c r="M222" s="8">
        <v>64.73</v>
      </c>
      <c r="N222" s="17">
        <v>3341.55</v>
      </c>
      <c r="O222" s="7">
        <f t="shared" si="264"/>
        <v>100.31</v>
      </c>
      <c r="P222" s="8">
        <f t="shared" si="307"/>
        <v>125.3875</v>
      </c>
      <c r="Q222" s="14">
        <v>0</v>
      </c>
      <c r="R222" s="14">
        <v>0</v>
      </c>
      <c r="S222" s="9">
        <f t="shared" si="265"/>
        <v>100.31</v>
      </c>
      <c r="T222" s="3">
        <f>F222*0.5772</f>
        <v>203.17440000000002</v>
      </c>
      <c r="U222" s="17">
        <f>840*5.9*1.063</f>
        <v>5268.228</v>
      </c>
      <c r="V222" s="9">
        <f t="shared" si="266"/>
        <v>100.31</v>
      </c>
      <c r="W222" s="12">
        <f t="shared" si="267"/>
        <v>100.31</v>
      </c>
      <c r="X222" s="14">
        <f t="shared" si="268"/>
        <v>100.31</v>
      </c>
      <c r="Y222" s="17">
        <f>F222*0.392</f>
        <v>137.984</v>
      </c>
      <c r="Z222" s="4">
        <f t="shared" si="269"/>
        <v>95.2945</v>
      </c>
      <c r="AA222" s="4">
        <f t="shared" si="299"/>
        <v>95.2945</v>
      </c>
      <c r="AB222" s="14">
        <v>0</v>
      </c>
      <c r="AC222" s="14">
        <v>0</v>
      </c>
      <c r="AD222" s="14">
        <f t="shared" si="271"/>
        <v>100.31</v>
      </c>
      <c r="AE222" s="14">
        <f t="shared" si="272"/>
        <v>100.31</v>
      </c>
      <c r="AF222" s="14">
        <v>0</v>
      </c>
      <c r="AG222" s="7">
        <f t="shared" si="300"/>
        <v>246.39999999999998</v>
      </c>
      <c r="AH222" s="12">
        <f t="shared" si="274"/>
        <v>110.34100000000001</v>
      </c>
      <c r="AI222" s="8">
        <f t="shared" si="275"/>
        <v>100.31</v>
      </c>
      <c r="AJ222" s="14">
        <f t="shared" si="301"/>
        <v>136.4216</v>
      </c>
      <c r="AK222" s="14">
        <f t="shared" si="277"/>
        <v>100.31</v>
      </c>
      <c r="AL222" s="14">
        <f t="shared" si="278"/>
        <v>100.31</v>
      </c>
      <c r="AM222" s="7">
        <f t="shared" si="302"/>
        <v>100.31</v>
      </c>
      <c r="AN222" s="7">
        <f t="shared" si="297"/>
        <v>100.31</v>
      </c>
      <c r="AO222" s="7">
        <f t="shared" si="303"/>
        <v>80.248</v>
      </c>
      <c r="AP222" s="14">
        <f t="shared" si="279"/>
        <v>100.31</v>
      </c>
      <c r="AQ222" s="7">
        <f t="shared" si="304"/>
        <v>176</v>
      </c>
      <c r="AR222" s="7">
        <f t="shared" si="305"/>
        <v>161.82500000000002</v>
      </c>
      <c r="AS222" s="14">
        <f t="shared" si="282"/>
        <v>100.31</v>
      </c>
      <c r="AT222" s="7">
        <f t="shared" si="306"/>
        <v>100.31</v>
      </c>
      <c r="AU222" s="7">
        <f t="shared" si="283"/>
        <v>71.20300000000002</v>
      </c>
      <c r="AV222" s="14">
        <f t="shared" si="284"/>
        <v>100.31</v>
      </c>
      <c r="AW222" s="7">
        <f t="shared" si="285"/>
        <v>95.2945</v>
      </c>
      <c r="AX222" s="7">
        <f t="shared" si="298"/>
        <v>88.2728</v>
      </c>
      <c r="AY222" s="14">
        <v>0</v>
      </c>
      <c r="AZ222" s="14">
        <v>0</v>
      </c>
      <c r="BA222" s="14">
        <v>0</v>
      </c>
      <c r="BB222" s="12">
        <f t="shared" si="308"/>
        <v>100.31</v>
      </c>
      <c r="BC222" s="12">
        <f t="shared" si="309"/>
        <v>110.34100000000001</v>
      </c>
      <c r="BD222" s="12">
        <f t="shared" si="310"/>
        <v>90.27900000000001</v>
      </c>
      <c r="BE222" s="14">
        <v>0</v>
      </c>
      <c r="BF222" s="14">
        <v>0</v>
      </c>
      <c r="BG222" s="14">
        <v>0</v>
      </c>
      <c r="BH222" s="7">
        <f t="shared" si="287"/>
        <v>120.372</v>
      </c>
      <c r="BI222" s="14">
        <f t="shared" si="288"/>
        <v>100.31</v>
      </c>
      <c r="BJ222" s="8">
        <f t="shared" si="289"/>
        <v>95.2945</v>
      </c>
      <c r="BK222" s="14">
        <f t="shared" si="290"/>
        <v>100.31</v>
      </c>
      <c r="BL222" s="7">
        <v>0</v>
      </c>
      <c r="BM222" s="14">
        <f t="shared" si="291"/>
        <v>100.31</v>
      </c>
      <c r="BN222" s="8">
        <f t="shared" si="311"/>
        <v>0</v>
      </c>
      <c r="BO222" s="8">
        <f t="shared" si="312"/>
        <v>5268.228</v>
      </c>
    </row>
    <row r="223" spans="1:67" ht="19.5" customHeight="1">
      <c r="A223" s="10">
        <f t="shared" si="295"/>
        <v>222</v>
      </c>
      <c r="B223" s="6">
        <v>43246</v>
      </c>
      <c r="C223" s="11" t="s">
        <v>378</v>
      </c>
      <c r="D223" s="30" t="s">
        <v>174</v>
      </c>
      <c r="E223" s="11" t="s">
        <v>374</v>
      </c>
      <c r="F223" s="42">
        <v>2447</v>
      </c>
      <c r="G223" s="6">
        <v>360</v>
      </c>
      <c r="H223" s="48">
        <v>0</v>
      </c>
      <c r="I223" s="6">
        <v>0</v>
      </c>
      <c r="J223" s="8">
        <f t="shared" si="263"/>
        <v>2112.526</v>
      </c>
      <c r="K223" s="52" t="s">
        <v>383</v>
      </c>
      <c r="L223" s="14">
        <v>1625.02</v>
      </c>
      <c r="M223" s="14">
        <v>35</v>
      </c>
      <c r="N223" s="17">
        <v>2150.55</v>
      </c>
      <c r="O223" s="7">
        <f t="shared" si="264"/>
        <v>1625.02</v>
      </c>
      <c r="P223" s="8">
        <f t="shared" si="307"/>
        <v>2031.275</v>
      </c>
      <c r="Q223" s="14">
        <v>0</v>
      </c>
      <c r="R223" s="14">
        <v>0</v>
      </c>
      <c r="S223" s="9">
        <f t="shared" si="265"/>
        <v>1625.02</v>
      </c>
      <c r="T223" s="3">
        <v>2462</v>
      </c>
      <c r="U223" s="14">
        <f>455*5.9*1.063</f>
        <v>2853.6234999999997</v>
      </c>
      <c r="V223" s="9">
        <f t="shared" si="266"/>
        <v>1625.02</v>
      </c>
      <c r="W223" s="12">
        <f t="shared" si="267"/>
        <v>1625.02</v>
      </c>
      <c r="X223" s="14">
        <f t="shared" si="268"/>
        <v>1625.02</v>
      </c>
      <c r="Y223" s="17">
        <v>1454</v>
      </c>
      <c r="Z223" s="4">
        <f t="shared" si="269"/>
        <v>1543.769</v>
      </c>
      <c r="AA223" s="4">
        <f t="shared" si="299"/>
        <v>1543.769</v>
      </c>
      <c r="AB223" s="14">
        <v>0</v>
      </c>
      <c r="AC223" s="14">
        <v>0</v>
      </c>
      <c r="AD223" s="14">
        <f t="shared" si="271"/>
        <v>1625.02</v>
      </c>
      <c r="AE223" s="14">
        <f t="shared" si="272"/>
        <v>1625.02</v>
      </c>
      <c r="AF223" s="14">
        <v>0</v>
      </c>
      <c r="AG223" s="7">
        <f t="shared" si="300"/>
        <v>1712.8999999999999</v>
      </c>
      <c r="AH223" s="12">
        <f t="shared" si="274"/>
        <v>1787.5220000000002</v>
      </c>
      <c r="AI223" s="8">
        <f t="shared" si="275"/>
        <v>1625.02</v>
      </c>
      <c r="AJ223" s="14">
        <f t="shared" si="301"/>
        <v>2210.0272</v>
      </c>
      <c r="AK223" s="14">
        <f t="shared" si="277"/>
        <v>1625.02</v>
      </c>
      <c r="AL223" s="14">
        <f t="shared" si="278"/>
        <v>1625.02</v>
      </c>
      <c r="AM223" s="7">
        <f t="shared" si="302"/>
        <v>1625.02</v>
      </c>
      <c r="AN223" s="7">
        <f t="shared" si="297"/>
        <v>1625.02</v>
      </c>
      <c r="AO223" s="7">
        <f t="shared" si="303"/>
        <v>1300.016</v>
      </c>
      <c r="AP223" s="14">
        <f t="shared" si="279"/>
        <v>1625.02</v>
      </c>
      <c r="AQ223" s="7">
        <f t="shared" si="304"/>
        <v>1223.5</v>
      </c>
      <c r="AR223" s="7">
        <f t="shared" si="305"/>
        <v>87.5</v>
      </c>
      <c r="AS223" s="14">
        <f t="shared" si="282"/>
        <v>1625.02</v>
      </c>
      <c r="AT223" s="7">
        <f t="shared" si="306"/>
        <v>1625.02</v>
      </c>
      <c r="AU223" s="7">
        <f t="shared" si="283"/>
        <v>38.5</v>
      </c>
      <c r="AV223" s="14">
        <f t="shared" si="284"/>
        <v>1625.02</v>
      </c>
      <c r="AW223" s="7">
        <f t="shared" si="285"/>
        <v>1543.769</v>
      </c>
      <c r="AX223" s="7">
        <f t="shared" si="298"/>
        <v>1430.0176</v>
      </c>
      <c r="AY223" s="14">
        <v>0</v>
      </c>
      <c r="AZ223" s="14">
        <v>0</v>
      </c>
      <c r="BA223" s="14">
        <v>0</v>
      </c>
      <c r="BB223" s="12">
        <f t="shared" si="308"/>
        <v>1625.02</v>
      </c>
      <c r="BC223" s="12">
        <f t="shared" si="309"/>
        <v>1787.5220000000002</v>
      </c>
      <c r="BD223" s="12">
        <f t="shared" si="310"/>
        <v>1462.518</v>
      </c>
      <c r="BE223" s="14">
        <v>0</v>
      </c>
      <c r="BF223" s="14">
        <v>0</v>
      </c>
      <c r="BG223" s="14">
        <v>0</v>
      </c>
      <c r="BH223" s="7">
        <f t="shared" si="287"/>
        <v>1950.024</v>
      </c>
      <c r="BI223" s="14">
        <f t="shared" si="288"/>
        <v>1625.02</v>
      </c>
      <c r="BJ223" s="14">
        <f t="shared" si="289"/>
        <v>1543.769</v>
      </c>
      <c r="BK223" s="14">
        <f t="shared" si="290"/>
        <v>1625.02</v>
      </c>
      <c r="BL223" s="17">
        <v>1531</v>
      </c>
      <c r="BM223" s="14">
        <f t="shared" si="291"/>
        <v>1625.02</v>
      </c>
      <c r="BN223" s="14">
        <f t="shared" si="311"/>
        <v>0</v>
      </c>
      <c r="BO223" s="14">
        <f t="shared" si="312"/>
        <v>2853.6234999999997</v>
      </c>
    </row>
    <row r="224" spans="1:67" ht="19.5" customHeight="1">
      <c r="A224" s="10">
        <f t="shared" si="295"/>
        <v>223</v>
      </c>
      <c r="B224" s="6">
        <v>43251</v>
      </c>
      <c r="C224" s="11" t="s">
        <v>378</v>
      </c>
      <c r="D224" s="30" t="s">
        <v>175</v>
      </c>
      <c r="E224" s="11" t="s">
        <v>374</v>
      </c>
      <c r="F224" s="42">
        <v>2447</v>
      </c>
      <c r="G224" s="6">
        <v>360</v>
      </c>
      <c r="H224" s="48">
        <v>0</v>
      </c>
      <c r="I224" s="6">
        <v>0</v>
      </c>
      <c r="J224" s="8">
        <f t="shared" si="263"/>
        <v>2112.526</v>
      </c>
      <c r="K224" s="52" t="s">
        <v>383</v>
      </c>
      <c r="L224" s="8">
        <v>1625.02</v>
      </c>
      <c r="M224" s="14">
        <v>35</v>
      </c>
      <c r="N224" s="17">
        <v>2150.55</v>
      </c>
      <c r="O224" s="7">
        <f t="shared" si="264"/>
        <v>1625.02</v>
      </c>
      <c r="P224" s="8">
        <f t="shared" si="307"/>
        <v>2031.275</v>
      </c>
      <c r="Q224" s="14">
        <v>0</v>
      </c>
      <c r="R224" s="14">
        <v>0</v>
      </c>
      <c r="S224" s="9">
        <f t="shared" si="265"/>
        <v>1625.02</v>
      </c>
      <c r="T224" s="3">
        <v>2462</v>
      </c>
      <c r="U224" s="17">
        <f>455*5.9*1.063</f>
        <v>2853.6234999999997</v>
      </c>
      <c r="V224" s="9">
        <f t="shared" si="266"/>
        <v>1625.02</v>
      </c>
      <c r="W224" s="12">
        <f t="shared" si="267"/>
        <v>1625.02</v>
      </c>
      <c r="X224" s="14">
        <f t="shared" si="268"/>
        <v>1625.02</v>
      </c>
      <c r="Y224" s="17">
        <v>1454</v>
      </c>
      <c r="Z224" s="4">
        <f t="shared" si="269"/>
        <v>1543.769</v>
      </c>
      <c r="AA224" s="4">
        <f t="shared" si="299"/>
        <v>1543.769</v>
      </c>
      <c r="AB224" s="14">
        <v>0</v>
      </c>
      <c r="AC224" s="14">
        <v>0</v>
      </c>
      <c r="AD224" s="14">
        <f t="shared" si="271"/>
        <v>1625.02</v>
      </c>
      <c r="AE224" s="14">
        <f t="shared" si="272"/>
        <v>1625.02</v>
      </c>
      <c r="AF224" s="14">
        <v>0</v>
      </c>
      <c r="AG224" s="7">
        <f t="shared" si="300"/>
        <v>1712.8999999999999</v>
      </c>
      <c r="AH224" s="12">
        <f t="shared" si="274"/>
        <v>1787.5220000000002</v>
      </c>
      <c r="AI224" s="8">
        <f t="shared" si="275"/>
        <v>1625.02</v>
      </c>
      <c r="AJ224" s="14">
        <f t="shared" si="301"/>
        <v>2210.0272</v>
      </c>
      <c r="AK224" s="14">
        <f t="shared" si="277"/>
        <v>1625.02</v>
      </c>
      <c r="AL224" s="14">
        <f t="shared" si="278"/>
        <v>1625.02</v>
      </c>
      <c r="AM224" s="7">
        <f t="shared" si="302"/>
        <v>1625.02</v>
      </c>
      <c r="AN224" s="7">
        <f t="shared" si="297"/>
        <v>1625.02</v>
      </c>
      <c r="AO224" s="7">
        <f t="shared" si="303"/>
        <v>1300.016</v>
      </c>
      <c r="AP224" s="14">
        <f t="shared" si="279"/>
        <v>1625.02</v>
      </c>
      <c r="AQ224" s="7">
        <f t="shared" si="304"/>
        <v>1223.5</v>
      </c>
      <c r="AR224" s="7">
        <f t="shared" si="305"/>
        <v>87.5</v>
      </c>
      <c r="AS224" s="14">
        <f t="shared" si="282"/>
        <v>1625.02</v>
      </c>
      <c r="AT224" s="7">
        <f t="shared" si="306"/>
        <v>1625.02</v>
      </c>
      <c r="AU224" s="8">
        <f>M224</f>
        <v>35</v>
      </c>
      <c r="AV224" s="14">
        <f t="shared" si="284"/>
        <v>1625.02</v>
      </c>
      <c r="AW224" s="7">
        <f t="shared" si="285"/>
        <v>1543.769</v>
      </c>
      <c r="AX224" s="7">
        <f t="shared" si="298"/>
        <v>1430.0176</v>
      </c>
      <c r="AY224" s="14">
        <v>0</v>
      </c>
      <c r="AZ224" s="14">
        <v>0</v>
      </c>
      <c r="BA224" s="14">
        <v>0</v>
      </c>
      <c r="BB224" s="12">
        <f t="shared" si="308"/>
        <v>1625.02</v>
      </c>
      <c r="BC224" s="12">
        <f t="shared" si="309"/>
        <v>1787.5220000000002</v>
      </c>
      <c r="BD224" s="12">
        <f t="shared" si="310"/>
        <v>1462.518</v>
      </c>
      <c r="BE224" s="14">
        <v>0</v>
      </c>
      <c r="BF224" s="14">
        <v>0</v>
      </c>
      <c r="BG224" s="14">
        <v>0</v>
      </c>
      <c r="BH224" s="7">
        <f t="shared" si="287"/>
        <v>1950.024</v>
      </c>
      <c r="BI224" s="14">
        <f t="shared" si="288"/>
        <v>1625.02</v>
      </c>
      <c r="BJ224" s="8">
        <f t="shared" si="289"/>
        <v>1543.769</v>
      </c>
      <c r="BK224" s="14">
        <f t="shared" si="290"/>
        <v>1625.02</v>
      </c>
      <c r="BL224" s="17">
        <v>1531</v>
      </c>
      <c r="BM224" s="14">
        <f t="shared" si="291"/>
        <v>1625.02</v>
      </c>
      <c r="BN224" s="8">
        <f t="shared" si="311"/>
        <v>0</v>
      </c>
      <c r="BO224" s="8">
        <f t="shared" si="312"/>
        <v>2853.6234999999997</v>
      </c>
    </row>
    <row r="225" spans="1:67" ht="19.5" customHeight="1">
      <c r="A225" s="10">
        <f t="shared" si="295"/>
        <v>224</v>
      </c>
      <c r="B225" s="6">
        <v>49585</v>
      </c>
      <c r="C225" s="11" t="s">
        <v>378</v>
      </c>
      <c r="D225" s="30" t="s">
        <v>176</v>
      </c>
      <c r="E225" s="11" t="s">
        <v>374</v>
      </c>
      <c r="F225" s="42">
        <v>7840</v>
      </c>
      <c r="G225" s="6">
        <v>360</v>
      </c>
      <c r="H225" s="48">
        <v>0</v>
      </c>
      <c r="I225" s="6">
        <v>0</v>
      </c>
      <c r="J225" s="8">
        <f t="shared" si="263"/>
        <v>4138.433</v>
      </c>
      <c r="K225" s="52" t="s">
        <v>383</v>
      </c>
      <c r="L225" s="8">
        <v>3183.41</v>
      </c>
      <c r="M225" s="8">
        <v>65</v>
      </c>
      <c r="N225" s="7">
        <v>3655.4</v>
      </c>
      <c r="O225" s="7">
        <f t="shared" si="264"/>
        <v>3183.41</v>
      </c>
      <c r="P225" s="8">
        <f t="shared" si="307"/>
        <v>3979.2625</v>
      </c>
      <c r="Q225" s="14">
        <v>0</v>
      </c>
      <c r="R225" s="14">
        <v>0</v>
      </c>
      <c r="S225" s="9">
        <f t="shared" si="265"/>
        <v>3183.41</v>
      </c>
      <c r="T225" s="4">
        <v>3241</v>
      </c>
      <c r="U225" s="7">
        <f>643*5.9*1.063</f>
        <v>4032.7031</v>
      </c>
      <c r="V225" s="9">
        <f t="shared" si="266"/>
        <v>3183.41</v>
      </c>
      <c r="W225" s="12">
        <f t="shared" si="267"/>
        <v>3183.41</v>
      </c>
      <c r="X225" s="14">
        <f t="shared" si="268"/>
        <v>3183.41</v>
      </c>
      <c r="Y225" s="17">
        <v>2369</v>
      </c>
      <c r="Z225" s="4">
        <f t="shared" si="269"/>
        <v>3024.2394999999997</v>
      </c>
      <c r="AA225" s="4">
        <f t="shared" si="299"/>
        <v>3024.2394999999997</v>
      </c>
      <c r="AB225" s="14">
        <v>0</v>
      </c>
      <c r="AC225" s="14">
        <v>0</v>
      </c>
      <c r="AD225" s="14">
        <f t="shared" si="271"/>
        <v>3183.41</v>
      </c>
      <c r="AE225" s="14">
        <f t="shared" si="272"/>
        <v>3183.41</v>
      </c>
      <c r="AF225" s="14">
        <v>0</v>
      </c>
      <c r="AG225" s="7">
        <f t="shared" si="300"/>
        <v>5488</v>
      </c>
      <c r="AH225" s="12">
        <f t="shared" si="274"/>
        <v>3501.751</v>
      </c>
      <c r="AI225" s="8">
        <f t="shared" si="275"/>
        <v>3183.41</v>
      </c>
      <c r="AJ225" s="14">
        <f t="shared" si="301"/>
        <v>4329.4376</v>
      </c>
      <c r="AK225" s="14">
        <f t="shared" si="277"/>
        <v>3183.41</v>
      </c>
      <c r="AL225" s="14">
        <f t="shared" si="278"/>
        <v>3183.41</v>
      </c>
      <c r="AM225" s="7">
        <f t="shared" si="302"/>
        <v>3183.41</v>
      </c>
      <c r="AN225" s="7">
        <f t="shared" si="297"/>
        <v>3183.41</v>
      </c>
      <c r="AO225" s="7">
        <f t="shared" si="303"/>
        <v>2546.728</v>
      </c>
      <c r="AP225" s="14">
        <f t="shared" si="279"/>
        <v>3183.41</v>
      </c>
      <c r="AQ225" s="7">
        <f t="shared" si="304"/>
        <v>3920</v>
      </c>
      <c r="AR225" s="7">
        <f t="shared" si="305"/>
        <v>162.5</v>
      </c>
      <c r="AS225" s="14">
        <f t="shared" si="282"/>
        <v>3183.41</v>
      </c>
      <c r="AT225" s="7">
        <f t="shared" si="306"/>
        <v>3183.41</v>
      </c>
      <c r="AU225" s="7">
        <f aca="true" t="shared" si="313" ref="AU225:AU232">M225*1.1</f>
        <v>71.5</v>
      </c>
      <c r="AV225" s="14">
        <f t="shared" si="284"/>
        <v>3183.41</v>
      </c>
      <c r="AW225" s="7">
        <f t="shared" si="285"/>
        <v>3024.2394999999997</v>
      </c>
      <c r="AX225" s="7">
        <f t="shared" si="298"/>
        <v>2801.4008</v>
      </c>
      <c r="AY225" s="14">
        <v>0</v>
      </c>
      <c r="AZ225" s="14">
        <v>0</v>
      </c>
      <c r="BA225" s="14">
        <v>0</v>
      </c>
      <c r="BB225" s="12">
        <f t="shared" si="308"/>
        <v>3183.41</v>
      </c>
      <c r="BC225" s="12">
        <f t="shared" si="309"/>
        <v>3501.751</v>
      </c>
      <c r="BD225" s="12">
        <f t="shared" si="310"/>
        <v>2865.069</v>
      </c>
      <c r="BE225" s="14">
        <v>0</v>
      </c>
      <c r="BF225" s="14">
        <v>0</v>
      </c>
      <c r="BG225" s="14">
        <v>0</v>
      </c>
      <c r="BH225" s="7">
        <f t="shared" si="287"/>
        <v>3820.0919999999996</v>
      </c>
      <c r="BI225" s="14">
        <f t="shared" si="288"/>
        <v>3183.41</v>
      </c>
      <c r="BJ225" s="8">
        <f t="shared" si="289"/>
        <v>3024.2394999999997</v>
      </c>
      <c r="BK225" s="14">
        <f t="shared" si="290"/>
        <v>3183.41</v>
      </c>
      <c r="BL225" s="14">
        <v>4336</v>
      </c>
      <c r="BM225" s="14">
        <f t="shared" si="291"/>
        <v>3183.41</v>
      </c>
      <c r="BN225" s="8">
        <f t="shared" si="311"/>
        <v>0</v>
      </c>
      <c r="BO225" s="8">
        <f t="shared" si="312"/>
        <v>5488</v>
      </c>
    </row>
    <row r="226" spans="1:67" ht="19.5" customHeight="1">
      <c r="A226" s="10">
        <f t="shared" si="295"/>
        <v>225</v>
      </c>
      <c r="B226" s="6">
        <v>20240</v>
      </c>
      <c r="C226" s="11" t="s">
        <v>378</v>
      </c>
      <c r="D226" s="29" t="s">
        <v>104</v>
      </c>
      <c r="E226" s="11" t="s">
        <v>374</v>
      </c>
      <c r="F226" s="42">
        <v>4190</v>
      </c>
      <c r="G226" s="6">
        <v>360</v>
      </c>
      <c r="H226" s="48">
        <v>0</v>
      </c>
      <c r="I226" s="6">
        <v>0</v>
      </c>
      <c r="J226" s="8">
        <f t="shared" si="263"/>
        <v>3081.0130000000004</v>
      </c>
      <c r="K226" s="52" t="s">
        <v>383</v>
      </c>
      <c r="L226" s="8">
        <v>2370.01</v>
      </c>
      <c r="M226" s="8">
        <v>35</v>
      </c>
      <c r="N226" s="17">
        <v>2150.55</v>
      </c>
      <c r="O226" s="7">
        <f t="shared" si="264"/>
        <v>2370.01</v>
      </c>
      <c r="P226" s="8">
        <f t="shared" si="307"/>
        <v>2962.5125000000003</v>
      </c>
      <c r="Q226" s="14">
        <v>0</v>
      </c>
      <c r="R226" s="14">
        <v>0</v>
      </c>
      <c r="S226" s="9">
        <f t="shared" si="265"/>
        <v>2370.01</v>
      </c>
      <c r="T226" s="3">
        <v>2462</v>
      </c>
      <c r="U226" s="17">
        <f>455*5.9*1.063</f>
        <v>2853.6234999999997</v>
      </c>
      <c r="V226" s="9">
        <f t="shared" si="266"/>
        <v>2370.01</v>
      </c>
      <c r="W226" s="12">
        <f t="shared" si="267"/>
        <v>2370.01</v>
      </c>
      <c r="X226" s="14">
        <f t="shared" si="268"/>
        <v>2370.01</v>
      </c>
      <c r="Y226" s="17">
        <v>1454</v>
      </c>
      <c r="Z226" s="4">
        <f t="shared" si="269"/>
        <v>2251.5095</v>
      </c>
      <c r="AA226" s="4">
        <f t="shared" si="299"/>
        <v>2251.5095</v>
      </c>
      <c r="AB226" s="14">
        <v>0</v>
      </c>
      <c r="AC226" s="14">
        <v>0</v>
      </c>
      <c r="AD226" s="14">
        <f t="shared" si="271"/>
        <v>2370.01</v>
      </c>
      <c r="AE226" s="14">
        <f t="shared" si="272"/>
        <v>2370.01</v>
      </c>
      <c r="AF226" s="14">
        <v>0</v>
      </c>
      <c r="AG226" s="7">
        <f t="shared" si="300"/>
        <v>2933</v>
      </c>
      <c r="AH226" s="12">
        <f t="shared" si="274"/>
        <v>2607.0110000000004</v>
      </c>
      <c r="AI226" s="8">
        <f t="shared" si="275"/>
        <v>2370.01</v>
      </c>
      <c r="AJ226" s="14">
        <f t="shared" si="301"/>
        <v>3223.2136000000005</v>
      </c>
      <c r="AK226" s="14">
        <f t="shared" si="277"/>
        <v>2370.01</v>
      </c>
      <c r="AL226" s="14">
        <f t="shared" si="278"/>
        <v>2370.01</v>
      </c>
      <c r="AM226" s="7">
        <f t="shared" si="302"/>
        <v>2370.01</v>
      </c>
      <c r="AN226" s="7">
        <f t="shared" si="297"/>
        <v>2370.01</v>
      </c>
      <c r="AO226" s="7">
        <f t="shared" si="303"/>
        <v>1896.0080000000003</v>
      </c>
      <c r="AP226" s="14">
        <f t="shared" si="279"/>
        <v>2370.01</v>
      </c>
      <c r="AQ226" s="7">
        <f t="shared" si="304"/>
        <v>2095</v>
      </c>
      <c r="AR226" s="7">
        <f t="shared" si="305"/>
        <v>87.5</v>
      </c>
      <c r="AS226" s="14">
        <f t="shared" si="282"/>
        <v>2370.01</v>
      </c>
      <c r="AT226" s="7">
        <f t="shared" si="306"/>
        <v>2370.01</v>
      </c>
      <c r="AU226" s="7">
        <f t="shared" si="313"/>
        <v>38.5</v>
      </c>
      <c r="AV226" s="14">
        <f t="shared" si="284"/>
        <v>2370.01</v>
      </c>
      <c r="AW226" s="7">
        <f t="shared" si="285"/>
        <v>2251.5095</v>
      </c>
      <c r="AX226" s="7">
        <f t="shared" si="298"/>
        <v>2085.6088000000004</v>
      </c>
      <c r="AY226" s="14">
        <v>0</v>
      </c>
      <c r="AZ226" s="14">
        <v>0</v>
      </c>
      <c r="BA226" s="14">
        <v>0</v>
      </c>
      <c r="BB226" s="12">
        <f t="shared" si="308"/>
        <v>2370.01</v>
      </c>
      <c r="BC226" s="12">
        <f t="shared" si="309"/>
        <v>2607.0110000000004</v>
      </c>
      <c r="BD226" s="12">
        <f t="shared" si="310"/>
        <v>2133.0090000000005</v>
      </c>
      <c r="BE226" s="14">
        <v>0</v>
      </c>
      <c r="BF226" s="14">
        <v>0</v>
      </c>
      <c r="BG226" s="14">
        <v>0</v>
      </c>
      <c r="BH226" s="7">
        <f t="shared" si="287"/>
        <v>2844.012</v>
      </c>
      <c r="BI226" s="14">
        <f t="shared" si="288"/>
        <v>2370.01</v>
      </c>
      <c r="BJ226" s="8">
        <f t="shared" si="289"/>
        <v>2251.5095</v>
      </c>
      <c r="BK226" s="14">
        <f t="shared" si="290"/>
        <v>2370.01</v>
      </c>
      <c r="BL226" s="14">
        <v>3067</v>
      </c>
      <c r="BM226" s="14">
        <f t="shared" si="291"/>
        <v>2370.01</v>
      </c>
      <c r="BN226" s="8">
        <f t="shared" si="311"/>
        <v>0</v>
      </c>
      <c r="BO226" s="8">
        <f t="shared" si="312"/>
        <v>3223.2136000000005</v>
      </c>
    </row>
    <row r="227" spans="1:67" ht="19.5" customHeight="1">
      <c r="A227" s="10">
        <f t="shared" si="295"/>
        <v>226</v>
      </c>
      <c r="B227" s="6">
        <v>49651</v>
      </c>
      <c r="C227" s="11" t="s">
        <v>378</v>
      </c>
      <c r="D227" s="30" t="s">
        <v>177</v>
      </c>
      <c r="E227" s="11" t="s">
        <v>374</v>
      </c>
      <c r="F227" s="42">
        <v>8805</v>
      </c>
      <c r="G227" s="6">
        <v>360</v>
      </c>
      <c r="H227" s="48">
        <v>0</v>
      </c>
      <c r="I227" s="6">
        <v>0</v>
      </c>
      <c r="J227" s="8">
        <f t="shared" si="263"/>
        <v>6578.572</v>
      </c>
      <c r="K227" s="52" t="s">
        <v>383</v>
      </c>
      <c r="L227" s="8">
        <v>5060.44</v>
      </c>
      <c r="M227" s="8">
        <v>155</v>
      </c>
      <c r="N227" s="17">
        <v>4604.4</v>
      </c>
      <c r="O227" s="7">
        <f t="shared" si="264"/>
        <v>5060.44</v>
      </c>
      <c r="P227" s="8">
        <f t="shared" si="307"/>
        <v>6325.549999999999</v>
      </c>
      <c r="Q227" s="14">
        <v>0</v>
      </c>
      <c r="R227" s="14">
        <v>0</v>
      </c>
      <c r="S227" s="9">
        <f t="shared" si="265"/>
        <v>5060.44</v>
      </c>
      <c r="T227" s="4">
        <v>3241</v>
      </c>
      <c r="U227" s="7">
        <f>1015*5.9*1.063</f>
        <v>6365.7755</v>
      </c>
      <c r="V227" s="9">
        <f t="shared" si="266"/>
        <v>5060.44</v>
      </c>
      <c r="W227" s="12">
        <f t="shared" si="267"/>
        <v>5060.44</v>
      </c>
      <c r="X227" s="14">
        <f t="shared" si="268"/>
        <v>5060.44</v>
      </c>
      <c r="Y227" s="17">
        <v>3091</v>
      </c>
      <c r="Z227" s="4">
        <f t="shared" si="269"/>
        <v>4807.418</v>
      </c>
      <c r="AA227" s="4">
        <f t="shared" si="299"/>
        <v>4807.418</v>
      </c>
      <c r="AB227" s="14">
        <v>0</v>
      </c>
      <c r="AC227" s="14">
        <v>0</v>
      </c>
      <c r="AD227" s="14">
        <f t="shared" si="271"/>
        <v>5060.44</v>
      </c>
      <c r="AE227" s="14">
        <f t="shared" si="272"/>
        <v>5060.44</v>
      </c>
      <c r="AF227" s="14">
        <v>0</v>
      </c>
      <c r="AG227" s="7">
        <f t="shared" si="300"/>
        <v>6163.5</v>
      </c>
      <c r="AH227" s="12">
        <f t="shared" si="274"/>
        <v>5566.484</v>
      </c>
      <c r="AI227" s="8">
        <f t="shared" si="275"/>
        <v>5060.44</v>
      </c>
      <c r="AJ227" s="14">
        <f t="shared" si="301"/>
        <v>6882.1984</v>
      </c>
      <c r="AK227" s="14">
        <f t="shared" si="277"/>
        <v>5060.44</v>
      </c>
      <c r="AL227" s="14">
        <f t="shared" si="278"/>
        <v>5060.44</v>
      </c>
      <c r="AM227" s="7">
        <f t="shared" si="302"/>
        <v>5060.44</v>
      </c>
      <c r="AN227" s="7">
        <f t="shared" si="297"/>
        <v>5060.44</v>
      </c>
      <c r="AO227" s="7">
        <f t="shared" si="303"/>
        <v>4048.352</v>
      </c>
      <c r="AP227" s="14">
        <f t="shared" si="279"/>
        <v>5060.44</v>
      </c>
      <c r="AQ227" s="7">
        <f t="shared" si="304"/>
        <v>4402.5</v>
      </c>
      <c r="AR227" s="7">
        <f t="shared" si="305"/>
        <v>387.5</v>
      </c>
      <c r="AS227" s="14">
        <f t="shared" si="282"/>
        <v>5060.44</v>
      </c>
      <c r="AT227" s="7">
        <f t="shared" si="306"/>
        <v>5060.44</v>
      </c>
      <c r="AU227" s="7">
        <f t="shared" si="313"/>
        <v>170.5</v>
      </c>
      <c r="AV227" s="14">
        <f t="shared" si="284"/>
        <v>5060.44</v>
      </c>
      <c r="AW227" s="7">
        <f t="shared" si="285"/>
        <v>4807.418</v>
      </c>
      <c r="AX227" s="7">
        <f t="shared" si="298"/>
        <v>4453.187199999999</v>
      </c>
      <c r="AY227" s="14">
        <v>0</v>
      </c>
      <c r="AZ227" s="14">
        <v>0</v>
      </c>
      <c r="BA227" s="14">
        <v>0</v>
      </c>
      <c r="BB227" s="12">
        <f t="shared" si="308"/>
        <v>5060.44</v>
      </c>
      <c r="BC227" s="12">
        <f t="shared" si="309"/>
        <v>5566.484</v>
      </c>
      <c r="BD227" s="12">
        <f t="shared" si="310"/>
        <v>4554.396</v>
      </c>
      <c r="BE227" s="14">
        <v>0</v>
      </c>
      <c r="BF227" s="14">
        <v>0</v>
      </c>
      <c r="BG227" s="14">
        <v>0</v>
      </c>
      <c r="BH227" s="7">
        <f t="shared" si="287"/>
        <v>6072.527999999999</v>
      </c>
      <c r="BI227" s="14">
        <f t="shared" si="288"/>
        <v>5060.44</v>
      </c>
      <c r="BJ227" s="8">
        <f t="shared" si="289"/>
        <v>4807.418</v>
      </c>
      <c r="BK227" s="14">
        <f t="shared" si="290"/>
        <v>5060.44</v>
      </c>
      <c r="BL227" s="17">
        <v>6139</v>
      </c>
      <c r="BM227" s="14">
        <f t="shared" si="291"/>
        <v>5060.44</v>
      </c>
      <c r="BN227" s="8">
        <f t="shared" si="311"/>
        <v>0</v>
      </c>
      <c r="BO227" s="8">
        <f t="shared" si="312"/>
        <v>6882.1984</v>
      </c>
    </row>
    <row r="228" spans="1:67" ht="19.5" customHeight="1">
      <c r="A228" s="10">
        <f t="shared" si="295"/>
        <v>227</v>
      </c>
      <c r="B228" s="6" t="s">
        <v>15</v>
      </c>
      <c r="C228" s="11" t="s">
        <v>378</v>
      </c>
      <c r="D228" s="30" t="s">
        <v>197</v>
      </c>
      <c r="E228" s="11" t="s">
        <v>374</v>
      </c>
      <c r="F228" s="42">
        <v>830</v>
      </c>
      <c r="G228" s="6">
        <v>360</v>
      </c>
      <c r="H228" s="48">
        <v>0</v>
      </c>
      <c r="I228" s="6">
        <v>0</v>
      </c>
      <c r="J228" s="8">
        <f t="shared" si="263"/>
        <v>681.4209999999999</v>
      </c>
      <c r="K228" s="52" t="s">
        <v>383</v>
      </c>
      <c r="L228" s="1">
        <v>524.17</v>
      </c>
      <c r="M228" s="3">
        <v>20</v>
      </c>
      <c r="N228" s="17">
        <v>2150.55</v>
      </c>
      <c r="O228" s="8">
        <f t="shared" si="264"/>
        <v>524.17</v>
      </c>
      <c r="P228" s="8">
        <f t="shared" si="307"/>
        <v>655.2125</v>
      </c>
      <c r="Q228" s="14">
        <v>0</v>
      </c>
      <c r="R228" s="14">
        <v>0</v>
      </c>
      <c r="S228" s="9">
        <f t="shared" si="265"/>
        <v>524.17</v>
      </c>
      <c r="T228" s="3">
        <v>2462</v>
      </c>
      <c r="U228" s="8">
        <f>455*5.9*1.063</f>
        <v>2853.6234999999997</v>
      </c>
      <c r="V228" s="9">
        <f t="shared" si="266"/>
        <v>524.17</v>
      </c>
      <c r="W228" s="12">
        <f t="shared" si="267"/>
        <v>524.17</v>
      </c>
      <c r="X228" s="14">
        <f t="shared" si="268"/>
        <v>524.17</v>
      </c>
      <c r="Y228" s="17">
        <v>1454</v>
      </c>
      <c r="Z228" s="4">
        <f t="shared" si="269"/>
        <v>497.96149999999994</v>
      </c>
      <c r="AA228" s="4">
        <f t="shared" si="299"/>
        <v>497.96149999999994</v>
      </c>
      <c r="AB228" s="14">
        <v>0</v>
      </c>
      <c r="AC228" s="14">
        <v>0</v>
      </c>
      <c r="AD228" s="14">
        <f t="shared" si="271"/>
        <v>524.17</v>
      </c>
      <c r="AE228" s="14">
        <f t="shared" si="272"/>
        <v>524.17</v>
      </c>
      <c r="AF228" s="14">
        <v>0</v>
      </c>
      <c r="AG228" s="3">
        <f t="shared" si="300"/>
        <v>581</v>
      </c>
      <c r="AH228" s="12">
        <f t="shared" si="274"/>
        <v>576.587</v>
      </c>
      <c r="AI228" s="8">
        <f t="shared" si="275"/>
        <v>524.17</v>
      </c>
      <c r="AJ228" s="14">
        <f t="shared" si="301"/>
        <v>712.8712</v>
      </c>
      <c r="AK228" s="14">
        <f t="shared" si="277"/>
        <v>524.17</v>
      </c>
      <c r="AL228" s="14">
        <f t="shared" si="278"/>
        <v>524.17</v>
      </c>
      <c r="AM228" s="7">
        <f t="shared" si="302"/>
        <v>524.17</v>
      </c>
      <c r="AN228" s="7">
        <f t="shared" si="297"/>
        <v>524.17</v>
      </c>
      <c r="AO228" s="7">
        <f t="shared" si="303"/>
        <v>419.336</v>
      </c>
      <c r="AP228" s="14">
        <f t="shared" si="279"/>
        <v>524.17</v>
      </c>
      <c r="AQ228" s="3">
        <f t="shared" si="304"/>
        <v>415</v>
      </c>
      <c r="AR228" s="7">
        <f t="shared" si="305"/>
        <v>50</v>
      </c>
      <c r="AS228" s="14">
        <f t="shared" si="282"/>
        <v>524.17</v>
      </c>
      <c r="AT228" s="7">
        <f t="shared" si="306"/>
        <v>524.17</v>
      </c>
      <c r="AU228" s="7">
        <f t="shared" si="313"/>
        <v>22</v>
      </c>
      <c r="AV228" s="14">
        <f t="shared" si="284"/>
        <v>524.17</v>
      </c>
      <c r="AW228" s="7">
        <f t="shared" si="285"/>
        <v>497.96149999999994</v>
      </c>
      <c r="AX228" s="7">
        <f t="shared" si="298"/>
        <v>461.26959999999997</v>
      </c>
      <c r="AY228" s="14">
        <v>0</v>
      </c>
      <c r="AZ228" s="14">
        <v>0</v>
      </c>
      <c r="BA228" s="14">
        <v>0</v>
      </c>
      <c r="BB228" s="12">
        <f t="shared" si="308"/>
        <v>524.17</v>
      </c>
      <c r="BC228" s="12">
        <f t="shared" si="309"/>
        <v>576.587</v>
      </c>
      <c r="BD228" s="12">
        <f t="shared" si="310"/>
        <v>471.753</v>
      </c>
      <c r="BE228" s="14">
        <v>0</v>
      </c>
      <c r="BF228" s="14">
        <v>0</v>
      </c>
      <c r="BG228" s="14">
        <v>0</v>
      </c>
      <c r="BH228" s="7">
        <f t="shared" si="287"/>
        <v>629.0039999999999</v>
      </c>
      <c r="BI228" s="14">
        <f t="shared" si="288"/>
        <v>524.17</v>
      </c>
      <c r="BJ228" s="8">
        <f t="shared" si="289"/>
        <v>497.96149999999994</v>
      </c>
      <c r="BK228" s="14">
        <f t="shared" si="290"/>
        <v>524.17</v>
      </c>
      <c r="BL228" s="17">
        <v>392</v>
      </c>
      <c r="BM228" s="14">
        <f t="shared" si="291"/>
        <v>524.17</v>
      </c>
      <c r="BN228" s="8">
        <f t="shared" si="311"/>
        <v>0</v>
      </c>
      <c r="BO228" s="8">
        <f t="shared" si="312"/>
        <v>2853.6234999999997</v>
      </c>
    </row>
    <row r="229" spans="1:67" ht="19.5" customHeight="1">
      <c r="A229" s="10">
        <f t="shared" si="295"/>
        <v>228</v>
      </c>
      <c r="B229" s="6">
        <v>49505</v>
      </c>
      <c r="C229" s="11" t="s">
        <v>378</v>
      </c>
      <c r="D229" s="29" t="s">
        <v>128</v>
      </c>
      <c r="E229" s="11" t="s">
        <v>374</v>
      </c>
      <c r="F229" s="42">
        <v>6286</v>
      </c>
      <c r="G229" s="6">
        <v>360</v>
      </c>
      <c r="H229" s="48">
        <v>0</v>
      </c>
      <c r="I229" s="6">
        <v>0</v>
      </c>
      <c r="J229" s="8">
        <f t="shared" si="263"/>
        <v>4138.433</v>
      </c>
      <c r="K229" s="52" t="s">
        <v>383</v>
      </c>
      <c r="L229" s="8">
        <v>3183.41</v>
      </c>
      <c r="M229" s="8">
        <v>65</v>
      </c>
      <c r="N229" s="7">
        <v>3655.4</v>
      </c>
      <c r="O229" s="7">
        <f t="shared" si="264"/>
        <v>3183.41</v>
      </c>
      <c r="P229" s="8">
        <f t="shared" si="307"/>
        <v>3979.2625</v>
      </c>
      <c r="Q229" s="14">
        <v>0</v>
      </c>
      <c r="R229" s="14">
        <v>0</v>
      </c>
      <c r="S229" s="9">
        <f t="shared" si="265"/>
        <v>3183.41</v>
      </c>
      <c r="T229" s="4">
        <v>3241</v>
      </c>
      <c r="U229" s="7">
        <f>643*5.9*1.063</f>
        <v>4032.7031</v>
      </c>
      <c r="V229" s="9">
        <f t="shared" si="266"/>
        <v>3183.41</v>
      </c>
      <c r="W229" s="12">
        <f t="shared" si="267"/>
        <v>3183.41</v>
      </c>
      <c r="X229" s="14">
        <f t="shared" si="268"/>
        <v>3183.41</v>
      </c>
      <c r="Y229" s="17">
        <v>2369</v>
      </c>
      <c r="Z229" s="4">
        <f t="shared" si="269"/>
        <v>3024.2394999999997</v>
      </c>
      <c r="AA229" s="4">
        <f t="shared" si="299"/>
        <v>3024.2394999999997</v>
      </c>
      <c r="AB229" s="14">
        <v>0</v>
      </c>
      <c r="AC229" s="14">
        <v>0</v>
      </c>
      <c r="AD229" s="14">
        <f t="shared" si="271"/>
        <v>3183.41</v>
      </c>
      <c r="AE229" s="14">
        <f t="shared" si="272"/>
        <v>3183.41</v>
      </c>
      <c r="AF229" s="14">
        <v>0</v>
      </c>
      <c r="AG229" s="7">
        <f t="shared" si="300"/>
        <v>4400.2</v>
      </c>
      <c r="AH229" s="12">
        <f t="shared" si="274"/>
        <v>3501.751</v>
      </c>
      <c r="AI229" s="8">
        <f t="shared" si="275"/>
        <v>3183.41</v>
      </c>
      <c r="AJ229" s="14">
        <f t="shared" si="301"/>
        <v>4329.4376</v>
      </c>
      <c r="AK229" s="14">
        <f t="shared" si="277"/>
        <v>3183.41</v>
      </c>
      <c r="AL229" s="14">
        <f t="shared" si="278"/>
        <v>3183.41</v>
      </c>
      <c r="AM229" s="7">
        <f t="shared" si="302"/>
        <v>3183.41</v>
      </c>
      <c r="AN229" s="7">
        <f t="shared" si="297"/>
        <v>3183.41</v>
      </c>
      <c r="AO229" s="7">
        <f t="shared" si="303"/>
        <v>2546.728</v>
      </c>
      <c r="AP229" s="14">
        <f t="shared" si="279"/>
        <v>3183.41</v>
      </c>
      <c r="AQ229" s="7">
        <f t="shared" si="304"/>
        <v>3143</v>
      </c>
      <c r="AR229" s="7">
        <f t="shared" si="305"/>
        <v>162.5</v>
      </c>
      <c r="AS229" s="14">
        <f t="shared" si="282"/>
        <v>3183.41</v>
      </c>
      <c r="AT229" s="7">
        <f t="shared" si="306"/>
        <v>3183.41</v>
      </c>
      <c r="AU229" s="7">
        <f t="shared" si="313"/>
        <v>71.5</v>
      </c>
      <c r="AV229" s="14">
        <f t="shared" si="284"/>
        <v>3183.41</v>
      </c>
      <c r="AW229" s="7">
        <f t="shared" si="285"/>
        <v>3024.2394999999997</v>
      </c>
      <c r="AX229" s="7">
        <f t="shared" si="298"/>
        <v>2801.4008</v>
      </c>
      <c r="AY229" s="14">
        <v>0</v>
      </c>
      <c r="AZ229" s="14">
        <v>0</v>
      </c>
      <c r="BA229" s="14">
        <v>0</v>
      </c>
      <c r="BB229" s="12">
        <f t="shared" si="308"/>
        <v>3183.41</v>
      </c>
      <c r="BC229" s="12">
        <f t="shared" si="309"/>
        <v>3501.751</v>
      </c>
      <c r="BD229" s="12">
        <f t="shared" si="310"/>
        <v>2865.069</v>
      </c>
      <c r="BE229" s="14">
        <v>0</v>
      </c>
      <c r="BF229" s="14">
        <v>0</v>
      </c>
      <c r="BG229" s="14">
        <v>0</v>
      </c>
      <c r="BH229" s="7">
        <f t="shared" si="287"/>
        <v>3820.0919999999996</v>
      </c>
      <c r="BI229" s="14">
        <f t="shared" si="288"/>
        <v>3183.41</v>
      </c>
      <c r="BJ229" s="8">
        <f t="shared" si="289"/>
        <v>3024.2394999999997</v>
      </c>
      <c r="BK229" s="14">
        <f t="shared" si="290"/>
        <v>3183.41</v>
      </c>
      <c r="BL229" s="14">
        <v>4336</v>
      </c>
      <c r="BM229" s="14">
        <f t="shared" si="291"/>
        <v>3183.41</v>
      </c>
      <c r="BN229" s="8">
        <f t="shared" si="311"/>
        <v>0</v>
      </c>
      <c r="BO229" s="8">
        <f t="shared" si="312"/>
        <v>4400.2</v>
      </c>
    </row>
    <row r="230" spans="1:67" ht="19.5" customHeight="1">
      <c r="A230" s="10">
        <f t="shared" si="295"/>
        <v>229</v>
      </c>
      <c r="B230" s="6" t="s">
        <v>52</v>
      </c>
      <c r="C230" s="11" t="s">
        <v>378</v>
      </c>
      <c r="D230" s="29" t="s">
        <v>129</v>
      </c>
      <c r="E230" s="11" t="s">
        <v>374</v>
      </c>
      <c r="F230" s="42">
        <v>23225</v>
      </c>
      <c r="G230" s="6">
        <v>360</v>
      </c>
      <c r="H230" s="48">
        <v>0</v>
      </c>
      <c r="I230" s="6">
        <v>0</v>
      </c>
      <c r="J230" s="8">
        <f t="shared" si="263"/>
        <v>11579.958</v>
      </c>
      <c r="K230" s="52" t="s">
        <v>383</v>
      </c>
      <c r="L230" s="8">
        <v>8907.66</v>
      </c>
      <c r="M230" s="8">
        <v>155</v>
      </c>
      <c r="N230" s="7">
        <v>3907</v>
      </c>
      <c r="O230" s="7">
        <f t="shared" si="264"/>
        <v>8907.66</v>
      </c>
      <c r="P230" s="8">
        <f t="shared" si="307"/>
        <v>11134.575</v>
      </c>
      <c r="Q230" s="14">
        <v>0</v>
      </c>
      <c r="R230" s="14">
        <v>0</v>
      </c>
      <c r="S230" s="9">
        <f t="shared" si="265"/>
        <v>8907.66</v>
      </c>
      <c r="T230" s="4">
        <v>4167</v>
      </c>
      <c r="U230" s="7">
        <f>340*5.9*1.063</f>
        <v>2132.378</v>
      </c>
      <c r="V230" s="9">
        <f t="shared" si="266"/>
        <v>8907.66</v>
      </c>
      <c r="W230" s="12">
        <f t="shared" si="267"/>
        <v>8907.66</v>
      </c>
      <c r="X230" s="14">
        <f t="shared" si="268"/>
        <v>8907.66</v>
      </c>
      <c r="Y230" s="7">
        <f>F230*0.392</f>
        <v>9104.2</v>
      </c>
      <c r="Z230" s="4">
        <f t="shared" si="269"/>
        <v>8462.277</v>
      </c>
      <c r="AA230" s="4">
        <f t="shared" si="299"/>
        <v>8462.277</v>
      </c>
      <c r="AB230" s="14">
        <v>0</v>
      </c>
      <c r="AC230" s="14">
        <v>0</v>
      </c>
      <c r="AD230" s="14">
        <f t="shared" si="271"/>
        <v>8907.66</v>
      </c>
      <c r="AE230" s="14">
        <f t="shared" si="272"/>
        <v>8907.66</v>
      </c>
      <c r="AF230" s="14">
        <v>0</v>
      </c>
      <c r="AG230" s="7">
        <f t="shared" si="300"/>
        <v>16257.499999999998</v>
      </c>
      <c r="AH230" s="12">
        <f t="shared" si="274"/>
        <v>9798.426000000001</v>
      </c>
      <c r="AI230" s="8">
        <f t="shared" si="275"/>
        <v>8907.66</v>
      </c>
      <c r="AJ230" s="14">
        <f t="shared" si="301"/>
        <v>12114.4176</v>
      </c>
      <c r="AK230" s="14">
        <f t="shared" si="277"/>
        <v>8907.66</v>
      </c>
      <c r="AL230" s="14">
        <f t="shared" si="278"/>
        <v>8907.66</v>
      </c>
      <c r="AM230" s="7">
        <f t="shared" si="302"/>
        <v>8907.66</v>
      </c>
      <c r="AN230" s="7">
        <f t="shared" si="297"/>
        <v>8907.66</v>
      </c>
      <c r="AO230" s="7">
        <f t="shared" si="303"/>
        <v>7126.128000000001</v>
      </c>
      <c r="AP230" s="14">
        <f t="shared" si="279"/>
        <v>8907.66</v>
      </c>
      <c r="AQ230" s="7">
        <f t="shared" si="304"/>
        <v>11612.5</v>
      </c>
      <c r="AR230" s="7">
        <f t="shared" si="305"/>
        <v>387.5</v>
      </c>
      <c r="AS230" s="14">
        <f t="shared" si="282"/>
        <v>8907.66</v>
      </c>
      <c r="AT230" s="7">
        <f t="shared" si="306"/>
        <v>8907.66</v>
      </c>
      <c r="AU230" s="7">
        <f t="shared" si="313"/>
        <v>170.5</v>
      </c>
      <c r="AV230" s="14">
        <f t="shared" si="284"/>
        <v>8907.66</v>
      </c>
      <c r="AW230" s="7">
        <f t="shared" si="285"/>
        <v>8462.277</v>
      </c>
      <c r="AX230" s="7">
        <f t="shared" si="298"/>
        <v>7838.7408</v>
      </c>
      <c r="AY230" s="14">
        <v>0</v>
      </c>
      <c r="AZ230" s="14">
        <v>0</v>
      </c>
      <c r="BA230" s="14">
        <v>0</v>
      </c>
      <c r="BB230" s="12">
        <f t="shared" si="308"/>
        <v>8907.66</v>
      </c>
      <c r="BC230" s="12">
        <f t="shared" si="309"/>
        <v>9798.426000000001</v>
      </c>
      <c r="BD230" s="12">
        <f t="shared" si="310"/>
        <v>8016.894</v>
      </c>
      <c r="BE230" s="14">
        <v>0</v>
      </c>
      <c r="BF230" s="14">
        <v>0</v>
      </c>
      <c r="BG230" s="14">
        <v>0</v>
      </c>
      <c r="BH230" s="7">
        <f t="shared" si="287"/>
        <v>10689.192</v>
      </c>
      <c r="BI230" s="14">
        <f t="shared" si="288"/>
        <v>8907.66</v>
      </c>
      <c r="BJ230" s="8">
        <f t="shared" si="289"/>
        <v>8462.277</v>
      </c>
      <c r="BK230" s="14">
        <f t="shared" si="290"/>
        <v>8907.66</v>
      </c>
      <c r="BL230" s="7">
        <v>11155</v>
      </c>
      <c r="BM230" s="14">
        <f t="shared" si="291"/>
        <v>8907.66</v>
      </c>
      <c r="BN230" s="8">
        <f t="shared" si="311"/>
        <v>0</v>
      </c>
      <c r="BO230" s="8">
        <f t="shared" si="312"/>
        <v>16257.499999999998</v>
      </c>
    </row>
    <row r="231" spans="1:67" ht="19.5" customHeight="1">
      <c r="A231" s="10">
        <f t="shared" si="295"/>
        <v>230</v>
      </c>
      <c r="B231" s="6">
        <v>62323</v>
      </c>
      <c r="C231" s="11" t="s">
        <v>378</v>
      </c>
      <c r="D231" s="29" t="s">
        <v>92</v>
      </c>
      <c r="E231" s="11" t="s">
        <v>374</v>
      </c>
      <c r="F231" s="42">
        <v>1797</v>
      </c>
      <c r="G231" s="6">
        <v>360</v>
      </c>
      <c r="H231" s="48">
        <v>0</v>
      </c>
      <c r="I231" s="6">
        <v>0</v>
      </c>
      <c r="J231" s="8">
        <f t="shared" si="263"/>
        <v>824.9670000000001</v>
      </c>
      <c r="K231" s="52" t="s">
        <v>383</v>
      </c>
      <c r="L231" s="8">
        <v>634.59</v>
      </c>
      <c r="M231" s="8">
        <v>18</v>
      </c>
      <c r="N231" s="17">
        <v>1178.3</v>
      </c>
      <c r="O231" s="7">
        <f t="shared" si="264"/>
        <v>634.59</v>
      </c>
      <c r="P231" s="8">
        <f t="shared" si="307"/>
        <v>793.2375000000001</v>
      </c>
      <c r="Q231" s="14">
        <v>0</v>
      </c>
      <c r="R231" s="14">
        <v>0</v>
      </c>
      <c r="S231" s="9">
        <f t="shared" si="265"/>
        <v>634.59</v>
      </c>
      <c r="T231" s="3">
        <v>1726</v>
      </c>
      <c r="U231" s="7">
        <f>340*5.9*1.063</f>
        <v>2132.378</v>
      </c>
      <c r="V231" s="9">
        <f t="shared" si="266"/>
        <v>634.59</v>
      </c>
      <c r="W231" s="12">
        <f t="shared" si="267"/>
        <v>634.59</v>
      </c>
      <c r="X231" s="14">
        <f t="shared" si="268"/>
        <v>634.59</v>
      </c>
      <c r="Y231" s="17">
        <v>1093</v>
      </c>
      <c r="Z231" s="4">
        <f t="shared" si="269"/>
        <v>602.8605</v>
      </c>
      <c r="AA231" s="4">
        <f t="shared" si="299"/>
        <v>602.8605</v>
      </c>
      <c r="AB231" s="14">
        <v>0</v>
      </c>
      <c r="AC231" s="14">
        <v>0</v>
      </c>
      <c r="AD231" s="14">
        <f t="shared" si="271"/>
        <v>634.59</v>
      </c>
      <c r="AE231" s="14">
        <f t="shared" si="272"/>
        <v>634.59</v>
      </c>
      <c r="AF231" s="14">
        <v>0</v>
      </c>
      <c r="AG231" s="7">
        <f t="shared" si="300"/>
        <v>1257.8999999999999</v>
      </c>
      <c r="AH231" s="12">
        <f t="shared" si="274"/>
        <v>698.0490000000001</v>
      </c>
      <c r="AI231" s="8">
        <f t="shared" si="275"/>
        <v>634.59</v>
      </c>
      <c r="AJ231" s="14">
        <f t="shared" si="301"/>
        <v>863.0424000000002</v>
      </c>
      <c r="AK231" s="14">
        <f t="shared" si="277"/>
        <v>634.59</v>
      </c>
      <c r="AL231" s="14">
        <f t="shared" si="278"/>
        <v>634.59</v>
      </c>
      <c r="AM231" s="7">
        <f t="shared" si="302"/>
        <v>634.59</v>
      </c>
      <c r="AN231" s="7">
        <f t="shared" si="297"/>
        <v>634.59</v>
      </c>
      <c r="AO231" s="7">
        <f t="shared" si="303"/>
        <v>507.672</v>
      </c>
      <c r="AP231" s="14">
        <f t="shared" si="279"/>
        <v>634.59</v>
      </c>
      <c r="AQ231" s="7">
        <f t="shared" si="304"/>
        <v>898.5</v>
      </c>
      <c r="AR231" s="7">
        <f t="shared" si="305"/>
        <v>45</v>
      </c>
      <c r="AS231" s="14">
        <f t="shared" si="282"/>
        <v>634.59</v>
      </c>
      <c r="AT231" s="7">
        <f t="shared" si="306"/>
        <v>634.59</v>
      </c>
      <c r="AU231" s="7">
        <f t="shared" si="313"/>
        <v>19.8</v>
      </c>
      <c r="AV231" s="14">
        <f t="shared" si="284"/>
        <v>634.59</v>
      </c>
      <c r="AW231" s="7">
        <f t="shared" si="285"/>
        <v>602.8605</v>
      </c>
      <c r="AX231" s="7">
        <f t="shared" si="298"/>
        <v>558.4392</v>
      </c>
      <c r="AY231" s="14">
        <v>0</v>
      </c>
      <c r="AZ231" s="14">
        <v>0</v>
      </c>
      <c r="BA231" s="14">
        <v>0</v>
      </c>
      <c r="BB231" s="12">
        <f t="shared" si="308"/>
        <v>634.59</v>
      </c>
      <c r="BC231" s="12">
        <f t="shared" si="309"/>
        <v>698.0490000000001</v>
      </c>
      <c r="BD231" s="12">
        <f t="shared" si="310"/>
        <v>571.1310000000001</v>
      </c>
      <c r="BE231" s="14">
        <v>0</v>
      </c>
      <c r="BF231" s="14">
        <v>0</v>
      </c>
      <c r="BG231" s="14">
        <v>0</v>
      </c>
      <c r="BH231" s="7">
        <f t="shared" si="287"/>
        <v>761.508</v>
      </c>
      <c r="BI231" s="14">
        <f t="shared" si="288"/>
        <v>634.59</v>
      </c>
      <c r="BJ231" s="8">
        <f t="shared" si="289"/>
        <v>602.8605</v>
      </c>
      <c r="BK231" s="14">
        <f t="shared" si="290"/>
        <v>634.59</v>
      </c>
      <c r="BL231" s="17">
        <v>986</v>
      </c>
      <c r="BM231" s="14">
        <f t="shared" si="291"/>
        <v>634.59</v>
      </c>
      <c r="BN231" s="8">
        <f t="shared" si="311"/>
        <v>0</v>
      </c>
      <c r="BO231" s="8">
        <f t="shared" si="312"/>
        <v>2132.378</v>
      </c>
    </row>
    <row r="232" spans="1:67" ht="19.5" customHeight="1">
      <c r="A232" s="10">
        <f t="shared" si="295"/>
        <v>231</v>
      </c>
      <c r="B232" s="6">
        <v>19120</v>
      </c>
      <c r="C232" s="11" t="s">
        <v>378</v>
      </c>
      <c r="D232" s="31" t="s">
        <v>327</v>
      </c>
      <c r="E232" s="11" t="s">
        <v>374</v>
      </c>
      <c r="F232" s="42">
        <v>4767</v>
      </c>
      <c r="G232" s="6">
        <v>360</v>
      </c>
      <c r="H232" s="48">
        <v>0</v>
      </c>
      <c r="I232" s="6">
        <v>0</v>
      </c>
      <c r="J232" s="8">
        <f t="shared" si="263"/>
        <v>4105.062</v>
      </c>
      <c r="K232" s="52" t="s">
        <v>383</v>
      </c>
      <c r="L232" s="1">
        <v>3157.74</v>
      </c>
      <c r="M232" s="3">
        <v>65</v>
      </c>
      <c r="N232" s="15">
        <v>3341.55</v>
      </c>
      <c r="O232" s="7">
        <f t="shared" si="264"/>
        <v>3157.74</v>
      </c>
      <c r="P232" s="8">
        <f t="shared" si="307"/>
        <v>3947.1749999999997</v>
      </c>
      <c r="Q232" s="14">
        <v>0</v>
      </c>
      <c r="R232" s="14">
        <v>0</v>
      </c>
      <c r="S232" s="9">
        <f t="shared" si="265"/>
        <v>3157.74</v>
      </c>
      <c r="T232" s="3">
        <v>3030</v>
      </c>
      <c r="U232" s="14">
        <f>520*5.9*1.063</f>
        <v>3261.2839999999997</v>
      </c>
      <c r="V232" s="9">
        <f t="shared" si="266"/>
        <v>3157.74</v>
      </c>
      <c r="W232" s="12">
        <f t="shared" si="267"/>
        <v>3157.74</v>
      </c>
      <c r="X232" s="14">
        <f t="shared" si="268"/>
        <v>3157.74</v>
      </c>
      <c r="Y232" s="14">
        <v>1820</v>
      </c>
      <c r="Z232" s="4">
        <f t="shared" si="269"/>
        <v>2999.8529999999996</v>
      </c>
      <c r="AA232" s="4">
        <f t="shared" si="299"/>
        <v>2999.8529999999996</v>
      </c>
      <c r="AB232" s="14">
        <v>0</v>
      </c>
      <c r="AC232" s="14">
        <v>0</v>
      </c>
      <c r="AD232" s="14">
        <f t="shared" si="271"/>
        <v>3157.74</v>
      </c>
      <c r="AE232" s="14">
        <f t="shared" si="272"/>
        <v>3157.74</v>
      </c>
      <c r="AF232" s="14">
        <v>0</v>
      </c>
      <c r="AG232" s="7">
        <f t="shared" si="300"/>
        <v>3336.8999999999996</v>
      </c>
      <c r="AH232" s="12">
        <f t="shared" si="274"/>
        <v>3473.514</v>
      </c>
      <c r="AI232" s="8">
        <f t="shared" si="275"/>
        <v>3157.74</v>
      </c>
      <c r="AJ232" s="14">
        <f t="shared" si="301"/>
        <v>4294.5264</v>
      </c>
      <c r="AK232" s="14">
        <f t="shared" si="277"/>
        <v>3157.74</v>
      </c>
      <c r="AL232" s="14">
        <f t="shared" si="278"/>
        <v>3157.74</v>
      </c>
      <c r="AM232" s="7">
        <f t="shared" si="302"/>
        <v>3157.74</v>
      </c>
      <c r="AN232" s="7">
        <f t="shared" si="297"/>
        <v>3157.74</v>
      </c>
      <c r="AO232" s="7">
        <f t="shared" si="303"/>
        <v>2526.192</v>
      </c>
      <c r="AP232" s="14">
        <f t="shared" si="279"/>
        <v>3157.74</v>
      </c>
      <c r="AQ232" s="7">
        <f t="shared" si="304"/>
        <v>2383.5</v>
      </c>
      <c r="AR232" s="7">
        <f t="shared" si="305"/>
        <v>162.5</v>
      </c>
      <c r="AS232" s="14">
        <f t="shared" si="282"/>
        <v>3157.74</v>
      </c>
      <c r="AT232" s="7">
        <f t="shared" si="306"/>
        <v>3157.74</v>
      </c>
      <c r="AU232" s="7">
        <f t="shared" si="313"/>
        <v>71.5</v>
      </c>
      <c r="AV232" s="14">
        <f t="shared" si="284"/>
        <v>3157.74</v>
      </c>
      <c r="AW232" s="7">
        <f t="shared" si="285"/>
        <v>2999.8529999999996</v>
      </c>
      <c r="AX232" s="7">
        <f t="shared" si="298"/>
        <v>2778.8111999999996</v>
      </c>
      <c r="AY232" s="14">
        <v>0</v>
      </c>
      <c r="AZ232" s="14">
        <v>0</v>
      </c>
      <c r="BA232" s="14">
        <v>0</v>
      </c>
      <c r="BB232" s="12">
        <f t="shared" si="308"/>
        <v>3157.74</v>
      </c>
      <c r="BC232" s="12">
        <f t="shared" si="309"/>
        <v>3473.514</v>
      </c>
      <c r="BD232" s="12">
        <f t="shared" si="310"/>
        <v>2841.966</v>
      </c>
      <c r="BE232" s="14">
        <v>0</v>
      </c>
      <c r="BF232" s="14">
        <v>0</v>
      </c>
      <c r="BG232" s="14">
        <v>0</v>
      </c>
      <c r="BH232" s="7">
        <f t="shared" si="287"/>
        <v>3789.2879999999996</v>
      </c>
      <c r="BI232" s="14">
        <f t="shared" si="288"/>
        <v>3157.74</v>
      </c>
      <c r="BJ232" s="8">
        <f t="shared" si="289"/>
        <v>2999.8529999999996</v>
      </c>
      <c r="BK232" s="14">
        <f t="shared" si="290"/>
        <v>3157.74</v>
      </c>
      <c r="BL232" s="14">
        <v>3067</v>
      </c>
      <c r="BM232" s="14">
        <f t="shared" si="291"/>
        <v>3157.74</v>
      </c>
      <c r="BN232" s="8">
        <f t="shared" si="311"/>
        <v>0</v>
      </c>
      <c r="BO232" s="8">
        <f t="shared" si="312"/>
        <v>4294.5264</v>
      </c>
    </row>
    <row r="233" spans="1:67" ht="19.5" customHeight="1">
      <c r="A233" s="10">
        <f t="shared" si="295"/>
        <v>232</v>
      </c>
      <c r="B233" s="6">
        <v>64483</v>
      </c>
      <c r="C233" s="11" t="s">
        <v>378</v>
      </c>
      <c r="D233" s="30" t="s">
        <v>321</v>
      </c>
      <c r="E233" s="11" t="s">
        <v>374</v>
      </c>
      <c r="F233" s="46">
        <v>2022</v>
      </c>
      <c r="G233" s="6">
        <v>360</v>
      </c>
      <c r="H233" s="48">
        <v>0</v>
      </c>
      <c r="I233" s="6">
        <v>0</v>
      </c>
      <c r="J233" s="8">
        <v>0</v>
      </c>
      <c r="K233" s="24" t="s">
        <v>383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0</v>
      </c>
      <c r="AD233" s="8">
        <v>0</v>
      </c>
      <c r="AE233" s="8">
        <v>0</v>
      </c>
      <c r="AF233" s="8">
        <v>0</v>
      </c>
      <c r="AG233" s="8">
        <v>0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8">
        <v>0</v>
      </c>
      <c r="AO233" s="8">
        <v>0</v>
      </c>
      <c r="AP233" s="8">
        <v>0</v>
      </c>
      <c r="AQ233" s="8">
        <v>0</v>
      </c>
      <c r="AR233" s="8">
        <v>0</v>
      </c>
      <c r="AS233" s="8">
        <v>0</v>
      </c>
      <c r="AT233" s="8">
        <v>0</v>
      </c>
      <c r="AU233" s="8">
        <v>0</v>
      </c>
      <c r="AV233" s="8">
        <v>0</v>
      </c>
      <c r="AW233" s="8">
        <v>0</v>
      </c>
      <c r="AX233" s="8">
        <v>0</v>
      </c>
      <c r="AY233" s="8">
        <v>0</v>
      </c>
      <c r="AZ233" s="8">
        <v>0</v>
      </c>
      <c r="BA233" s="8">
        <v>0</v>
      </c>
      <c r="BB233" s="12">
        <f t="shared" si="308"/>
        <v>0</v>
      </c>
      <c r="BC233" s="12">
        <f t="shared" si="309"/>
        <v>0</v>
      </c>
      <c r="BD233" s="12">
        <f t="shared" si="310"/>
        <v>0</v>
      </c>
      <c r="BE233" s="8">
        <v>0</v>
      </c>
      <c r="BF233" s="8">
        <v>0</v>
      </c>
      <c r="BG233" s="8">
        <v>0</v>
      </c>
      <c r="BH233" s="8">
        <v>0</v>
      </c>
      <c r="BI233" s="8">
        <v>0</v>
      </c>
      <c r="BJ233" s="8">
        <v>0</v>
      </c>
      <c r="BK233" s="8">
        <v>0</v>
      </c>
      <c r="BL233" s="8">
        <v>0</v>
      </c>
      <c r="BM233" s="8">
        <v>0</v>
      </c>
      <c r="BN233" s="3">
        <f>MIN(N233:BM233:BM233)</f>
        <v>0</v>
      </c>
      <c r="BO233" s="3">
        <f t="shared" si="312"/>
        <v>0</v>
      </c>
    </row>
    <row r="234" spans="1:67" ht="19.5" customHeight="1">
      <c r="A234" s="10">
        <f t="shared" si="295"/>
        <v>233</v>
      </c>
      <c r="B234" s="6">
        <v>42820</v>
      </c>
      <c r="C234" s="11" t="s">
        <v>379</v>
      </c>
      <c r="D234" s="30" t="s">
        <v>314</v>
      </c>
      <c r="E234" s="11" t="s">
        <v>374</v>
      </c>
      <c r="F234" s="46">
        <v>0</v>
      </c>
      <c r="G234" s="39" t="s">
        <v>379</v>
      </c>
      <c r="H234" s="48">
        <v>0</v>
      </c>
      <c r="I234" s="6">
        <v>0</v>
      </c>
      <c r="J234" s="8">
        <v>0</v>
      </c>
      <c r="K234" s="24" t="s">
        <v>383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  <c r="Z234" s="8">
        <v>0</v>
      </c>
      <c r="AA234" s="8">
        <v>0</v>
      </c>
      <c r="AB234" s="8">
        <v>0</v>
      </c>
      <c r="AC234" s="8">
        <v>0</v>
      </c>
      <c r="AD234" s="8">
        <v>0</v>
      </c>
      <c r="AE234" s="8">
        <v>0</v>
      </c>
      <c r="AF234" s="8">
        <v>0</v>
      </c>
      <c r="AG234" s="8">
        <v>0</v>
      </c>
      <c r="AH234" s="8">
        <v>0</v>
      </c>
      <c r="AI234" s="8">
        <v>0</v>
      </c>
      <c r="AJ234" s="8">
        <v>0</v>
      </c>
      <c r="AK234" s="8">
        <v>0</v>
      </c>
      <c r="AL234" s="8">
        <v>0</v>
      </c>
      <c r="AM234" s="8">
        <v>0</v>
      </c>
      <c r="AN234" s="8">
        <v>0</v>
      </c>
      <c r="AO234" s="8">
        <v>0</v>
      </c>
      <c r="AP234" s="8">
        <v>0</v>
      </c>
      <c r="AQ234" s="8">
        <v>0</v>
      </c>
      <c r="AR234" s="8">
        <v>0</v>
      </c>
      <c r="AS234" s="8">
        <v>0</v>
      </c>
      <c r="AT234" s="8">
        <v>0</v>
      </c>
      <c r="AU234" s="8">
        <v>0</v>
      </c>
      <c r="AV234" s="8">
        <v>0</v>
      </c>
      <c r="AW234" s="8">
        <v>0</v>
      </c>
      <c r="AX234" s="8">
        <v>0</v>
      </c>
      <c r="AY234" s="8">
        <v>0</v>
      </c>
      <c r="AZ234" s="8">
        <v>0</v>
      </c>
      <c r="BA234" s="8">
        <v>0</v>
      </c>
      <c r="BB234" s="12">
        <f t="shared" si="308"/>
        <v>0</v>
      </c>
      <c r="BC234" s="12">
        <f t="shared" si="309"/>
        <v>0</v>
      </c>
      <c r="BD234" s="12">
        <f t="shared" si="310"/>
        <v>0</v>
      </c>
      <c r="BE234" s="8">
        <v>0</v>
      </c>
      <c r="BF234" s="8">
        <v>0</v>
      </c>
      <c r="BG234" s="8">
        <v>0</v>
      </c>
      <c r="BH234" s="8">
        <v>0</v>
      </c>
      <c r="BI234" s="8">
        <v>0</v>
      </c>
      <c r="BJ234" s="8">
        <v>0</v>
      </c>
      <c r="BK234" s="8">
        <v>0</v>
      </c>
      <c r="BL234" s="8">
        <v>0</v>
      </c>
      <c r="BM234" s="8">
        <v>0</v>
      </c>
      <c r="BN234" s="3">
        <f>MIN(N234:BM234:BM234)</f>
        <v>0</v>
      </c>
      <c r="BO234" s="3">
        <f t="shared" si="312"/>
        <v>0</v>
      </c>
    </row>
    <row r="235" spans="1:67" ht="19.5" customHeight="1">
      <c r="A235" s="10">
        <f t="shared" si="295"/>
        <v>234</v>
      </c>
      <c r="B235" s="6">
        <v>45391</v>
      </c>
      <c r="C235" s="11" t="s">
        <v>379</v>
      </c>
      <c r="D235" s="30" t="s">
        <v>315</v>
      </c>
      <c r="E235" s="11" t="s">
        <v>374</v>
      </c>
      <c r="F235" s="46">
        <v>0</v>
      </c>
      <c r="G235" s="39" t="s">
        <v>379</v>
      </c>
      <c r="H235" s="48">
        <v>0</v>
      </c>
      <c r="I235" s="6">
        <v>0</v>
      </c>
      <c r="J235" s="8">
        <v>0</v>
      </c>
      <c r="K235" s="24" t="s">
        <v>383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8">
        <v>0</v>
      </c>
      <c r="AA235" s="8">
        <v>0</v>
      </c>
      <c r="AB235" s="8">
        <v>0</v>
      </c>
      <c r="AC235" s="8">
        <v>0</v>
      </c>
      <c r="AD235" s="8">
        <v>0</v>
      </c>
      <c r="AE235" s="8">
        <v>0</v>
      </c>
      <c r="AF235" s="8">
        <v>0</v>
      </c>
      <c r="AG235" s="8">
        <v>0</v>
      </c>
      <c r="AH235" s="8">
        <v>0</v>
      </c>
      <c r="AI235" s="8">
        <v>0</v>
      </c>
      <c r="AJ235" s="8">
        <v>0</v>
      </c>
      <c r="AK235" s="8">
        <v>0</v>
      </c>
      <c r="AL235" s="8">
        <v>0</v>
      </c>
      <c r="AM235" s="8">
        <v>0</v>
      </c>
      <c r="AN235" s="8">
        <v>0</v>
      </c>
      <c r="AO235" s="8">
        <v>0</v>
      </c>
      <c r="AP235" s="8">
        <v>0</v>
      </c>
      <c r="AQ235" s="8">
        <v>0</v>
      </c>
      <c r="AR235" s="8">
        <v>0</v>
      </c>
      <c r="AS235" s="8">
        <v>0</v>
      </c>
      <c r="AT235" s="8">
        <v>0</v>
      </c>
      <c r="AU235" s="8">
        <v>0</v>
      </c>
      <c r="AV235" s="8">
        <v>0</v>
      </c>
      <c r="AW235" s="8">
        <v>0</v>
      </c>
      <c r="AX235" s="8">
        <v>0</v>
      </c>
      <c r="AY235" s="8">
        <v>0</v>
      </c>
      <c r="AZ235" s="8">
        <v>0</v>
      </c>
      <c r="BA235" s="8">
        <v>0</v>
      </c>
      <c r="BB235" s="12">
        <f t="shared" si="308"/>
        <v>0</v>
      </c>
      <c r="BC235" s="12">
        <f t="shared" si="309"/>
        <v>0</v>
      </c>
      <c r="BD235" s="12">
        <f t="shared" si="310"/>
        <v>0</v>
      </c>
      <c r="BE235" s="8">
        <v>0</v>
      </c>
      <c r="BF235" s="8">
        <v>0</v>
      </c>
      <c r="BG235" s="8">
        <v>0</v>
      </c>
      <c r="BH235" s="8">
        <v>0</v>
      </c>
      <c r="BI235" s="8">
        <v>0</v>
      </c>
      <c r="BJ235" s="8">
        <v>0</v>
      </c>
      <c r="BK235" s="8">
        <v>0</v>
      </c>
      <c r="BL235" s="8">
        <v>0</v>
      </c>
      <c r="BM235" s="8">
        <v>0</v>
      </c>
      <c r="BN235" s="3">
        <f>MIN(N235:BM235:BM235)</f>
        <v>0</v>
      </c>
      <c r="BO235" s="3">
        <f t="shared" si="312"/>
        <v>0</v>
      </c>
    </row>
    <row r="236" spans="1:67" ht="19.5" customHeight="1">
      <c r="A236" s="10">
        <f t="shared" si="295"/>
        <v>235</v>
      </c>
      <c r="B236" s="6">
        <v>55700</v>
      </c>
      <c r="C236" s="11" t="s">
        <v>379</v>
      </c>
      <c r="D236" s="30" t="s">
        <v>316</v>
      </c>
      <c r="E236" s="11" t="s">
        <v>374</v>
      </c>
      <c r="F236" s="46">
        <v>0</v>
      </c>
      <c r="G236" s="39" t="s">
        <v>379</v>
      </c>
      <c r="H236" s="48">
        <v>0</v>
      </c>
      <c r="I236" s="6">
        <v>0</v>
      </c>
      <c r="J236" s="8">
        <v>0</v>
      </c>
      <c r="K236" s="24" t="s">
        <v>383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  <c r="Z236" s="8">
        <v>0</v>
      </c>
      <c r="AA236" s="8">
        <v>0</v>
      </c>
      <c r="AB236" s="8">
        <v>0</v>
      </c>
      <c r="AC236" s="8">
        <v>0</v>
      </c>
      <c r="AD236" s="8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8">
        <v>0</v>
      </c>
      <c r="AO236" s="8">
        <v>0</v>
      </c>
      <c r="AP236" s="8">
        <v>0</v>
      </c>
      <c r="AQ236" s="8">
        <v>0</v>
      </c>
      <c r="AR236" s="8">
        <v>0</v>
      </c>
      <c r="AS236" s="8">
        <v>0</v>
      </c>
      <c r="AT236" s="8">
        <v>0</v>
      </c>
      <c r="AU236" s="8">
        <v>0</v>
      </c>
      <c r="AV236" s="8">
        <v>0</v>
      </c>
      <c r="AW236" s="8">
        <v>0</v>
      </c>
      <c r="AX236" s="8">
        <v>0</v>
      </c>
      <c r="AY236" s="8">
        <v>0</v>
      </c>
      <c r="AZ236" s="8">
        <v>0</v>
      </c>
      <c r="BA236" s="8">
        <v>0</v>
      </c>
      <c r="BB236" s="12">
        <f t="shared" si="308"/>
        <v>0</v>
      </c>
      <c r="BC236" s="12">
        <f t="shared" si="309"/>
        <v>0</v>
      </c>
      <c r="BD236" s="12">
        <f t="shared" si="310"/>
        <v>0</v>
      </c>
      <c r="BE236" s="8">
        <v>0</v>
      </c>
      <c r="BF236" s="8">
        <v>0</v>
      </c>
      <c r="BG236" s="8">
        <v>0</v>
      </c>
      <c r="BH236" s="8">
        <v>0</v>
      </c>
      <c r="BI236" s="8">
        <v>0</v>
      </c>
      <c r="BJ236" s="8">
        <v>0</v>
      </c>
      <c r="BK236" s="8">
        <v>0</v>
      </c>
      <c r="BL236" s="8">
        <v>0</v>
      </c>
      <c r="BM236" s="8">
        <v>0</v>
      </c>
      <c r="BN236" s="3">
        <f>MIN(N236:BM236:BM236)</f>
        <v>0</v>
      </c>
      <c r="BO236" s="3">
        <f t="shared" si="312"/>
        <v>0</v>
      </c>
    </row>
    <row r="237" spans="1:67" ht="19.5" customHeight="1">
      <c r="A237" s="10">
        <f t="shared" si="295"/>
        <v>236</v>
      </c>
      <c r="B237" s="6">
        <v>59400</v>
      </c>
      <c r="C237" s="11" t="s">
        <v>379</v>
      </c>
      <c r="D237" s="30" t="s">
        <v>322</v>
      </c>
      <c r="E237" s="11" t="s">
        <v>374</v>
      </c>
      <c r="F237" s="46">
        <v>0</v>
      </c>
      <c r="G237" s="39" t="s">
        <v>379</v>
      </c>
      <c r="H237" s="48">
        <v>0</v>
      </c>
      <c r="I237" s="6">
        <v>0</v>
      </c>
      <c r="J237" s="8">
        <v>0</v>
      </c>
      <c r="K237" s="24" t="s">
        <v>383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8">
        <v>0</v>
      </c>
      <c r="AA237" s="8">
        <v>0</v>
      </c>
      <c r="AB237" s="8">
        <v>0</v>
      </c>
      <c r="AC237" s="8">
        <v>0</v>
      </c>
      <c r="AD237" s="8">
        <v>0</v>
      </c>
      <c r="AE237" s="8">
        <v>0</v>
      </c>
      <c r="AF237" s="8">
        <v>0</v>
      </c>
      <c r="AG237" s="8">
        <v>0</v>
      </c>
      <c r="AH237" s="8">
        <v>0</v>
      </c>
      <c r="AI237" s="8">
        <v>0</v>
      </c>
      <c r="AJ237" s="8">
        <v>0</v>
      </c>
      <c r="AK237" s="8">
        <v>0</v>
      </c>
      <c r="AL237" s="8">
        <v>0</v>
      </c>
      <c r="AM237" s="8">
        <v>0</v>
      </c>
      <c r="AN237" s="8">
        <v>0</v>
      </c>
      <c r="AO237" s="8">
        <v>0</v>
      </c>
      <c r="AP237" s="8">
        <v>0</v>
      </c>
      <c r="AQ237" s="8">
        <v>0</v>
      </c>
      <c r="AR237" s="8">
        <v>0</v>
      </c>
      <c r="AS237" s="8">
        <v>0</v>
      </c>
      <c r="AT237" s="8">
        <v>0</v>
      </c>
      <c r="AU237" s="8">
        <v>0</v>
      </c>
      <c r="AV237" s="8">
        <v>0</v>
      </c>
      <c r="AW237" s="8">
        <v>0</v>
      </c>
      <c r="AX237" s="8">
        <v>0</v>
      </c>
      <c r="AY237" s="8">
        <v>0</v>
      </c>
      <c r="AZ237" s="8">
        <v>0</v>
      </c>
      <c r="BA237" s="8">
        <v>0</v>
      </c>
      <c r="BB237" s="12">
        <f t="shared" si="308"/>
        <v>0</v>
      </c>
      <c r="BC237" s="12">
        <f t="shared" si="309"/>
        <v>0</v>
      </c>
      <c r="BD237" s="12">
        <f t="shared" si="310"/>
        <v>0</v>
      </c>
      <c r="BE237" s="8">
        <v>0</v>
      </c>
      <c r="BF237" s="8">
        <v>0</v>
      </c>
      <c r="BG237" s="8">
        <v>0</v>
      </c>
      <c r="BH237" s="8">
        <v>0</v>
      </c>
      <c r="BI237" s="8">
        <v>0</v>
      </c>
      <c r="BJ237" s="8">
        <v>0</v>
      </c>
      <c r="BK237" s="8">
        <v>0</v>
      </c>
      <c r="BL237" s="8">
        <v>0</v>
      </c>
      <c r="BM237" s="8">
        <v>0</v>
      </c>
      <c r="BN237" s="3">
        <f>MIN(N237:BM237:BM237)</f>
        <v>0</v>
      </c>
      <c r="BO237" s="3">
        <f t="shared" si="312"/>
        <v>0</v>
      </c>
    </row>
    <row r="238" spans="1:67" ht="19.5" customHeight="1">
      <c r="A238" s="10">
        <f t="shared" si="295"/>
        <v>237</v>
      </c>
      <c r="B238" s="6">
        <v>59510</v>
      </c>
      <c r="C238" s="11" t="s">
        <v>379</v>
      </c>
      <c r="D238" s="30" t="s">
        <v>323</v>
      </c>
      <c r="E238" s="11" t="s">
        <v>374</v>
      </c>
      <c r="F238" s="46">
        <v>0</v>
      </c>
      <c r="G238" s="39" t="s">
        <v>379</v>
      </c>
      <c r="H238" s="48">
        <v>0</v>
      </c>
      <c r="I238" s="6">
        <v>0</v>
      </c>
      <c r="J238" s="8">
        <v>0</v>
      </c>
      <c r="K238" s="24" t="s">
        <v>383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8">
        <v>0</v>
      </c>
      <c r="T238" s="8">
        <v>0</v>
      </c>
      <c r="U238" s="8">
        <v>0</v>
      </c>
      <c r="V238" s="8">
        <v>0</v>
      </c>
      <c r="W238" s="8">
        <v>0</v>
      </c>
      <c r="X238" s="8">
        <v>0</v>
      </c>
      <c r="Y238" s="8">
        <v>0</v>
      </c>
      <c r="Z238" s="8">
        <v>0</v>
      </c>
      <c r="AA238" s="8">
        <v>0</v>
      </c>
      <c r="AB238" s="8">
        <v>0</v>
      </c>
      <c r="AC238" s="8">
        <v>0</v>
      </c>
      <c r="AD238" s="8">
        <v>0</v>
      </c>
      <c r="AE238" s="8">
        <v>0</v>
      </c>
      <c r="AF238" s="8">
        <v>0</v>
      </c>
      <c r="AG238" s="8">
        <v>0</v>
      </c>
      <c r="AH238" s="8">
        <v>0</v>
      </c>
      <c r="AI238" s="8">
        <v>0</v>
      </c>
      <c r="AJ238" s="8">
        <v>0</v>
      </c>
      <c r="AK238" s="8">
        <v>0</v>
      </c>
      <c r="AL238" s="8">
        <v>0</v>
      </c>
      <c r="AM238" s="8">
        <v>0</v>
      </c>
      <c r="AN238" s="8">
        <v>0</v>
      </c>
      <c r="AO238" s="8">
        <v>0</v>
      </c>
      <c r="AP238" s="8">
        <v>0</v>
      </c>
      <c r="AQ238" s="8">
        <v>0</v>
      </c>
      <c r="AR238" s="8">
        <v>0</v>
      </c>
      <c r="AS238" s="8">
        <v>0</v>
      </c>
      <c r="AT238" s="8">
        <v>0</v>
      </c>
      <c r="AU238" s="8">
        <v>0</v>
      </c>
      <c r="AV238" s="8">
        <v>0</v>
      </c>
      <c r="AW238" s="8">
        <v>0</v>
      </c>
      <c r="AX238" s="8">
        <v>0</v>
      </c>
      <c r="AY238" s="8">
        <v>0</v>
      </c>
      <c r="AZ238" s="8">
        <v>0</v>
      </c>
      <c r="BA238" s="8">
        <v>0</v>
      </c>
      <c r="BB238" s="12">
        <f t="shared" si="308"/>
        <v>0</v>
      </c>
      <c r="BC238" s="12">
        <f t="shared" si="309"/>
        <v>0</v>
      </c>
      <c r="BD238" s="12">
        <f t="shared" si="310"/>
        <v>0</v>
      </c>
      <c r="BE238" s="8">
        <v>0</v>
      </c>
      <c r="BF238" s="8">
        <v>0</v>
      </c>
      <c r="BG238" s="8">
        <v>0</v>
      </c>
      <c r="BH238" s="8">
        <v>0</v>
      </c>
      <c r="BI238" s="8">
        <v>0</v>
      </c>
      <c r="BJ238" s="8">
        <v>0</v>
      </c>
      <c r="BK238" s="8">
        <v>0</v>
      </c>
      <c r="BL238" s="8">
        <v>0</v>
      </c>
      <c r="BM238" s="8">
        <v>0</v>
      </c>
      <c r="BN238" s="3">
        <f>MIN(N238:BM238:BM238)</f>
        <v>0</v>
      </c>
      <c r="BO238" s="3">
        <f t="shared" si="312"/>
        <v>0</v>
      </c>
    </row>
    <row r="239" spans="1:67" ht="19.5" customHeight="1">
      <c r="A239" s="10">
        <f t="shared" si="295"/>
        <v>238</v>
      </c>
      <c r="B239" s="6">
        <v>59610</v>
      </c>
      <c r="C239" s="11" t="s">
        <v>379</v>
      </c>
      <c r="D239" s="30" t="s">
        <v>324</v>
      </c>
      <c r="E239" s="11" t="s">
        <v>374</v>
      </c>
      <c r="F239" s="46">
        <v>0</v>
      </c>
      <c r="G239" s="39" t="s">
        <v>379</v>
      </c>
      <c r="H239" s="48">
        <v>0</v>
      </c>
      <c r="I239" s="6">
        <v>0</v>
      </c>
      <c r="J239" s="8">
        <v>0</v>
      </c>
      <c r="K239" s="24" t="s">
        <v>383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  <c r="Z239" s="8">
        <v>0</v>
      </c>
      <c r="AA239" s="8">
        <v>0</v>
      </c>
      <c r="AB239" s="8">
        <v>0</v>
      </c>
      <c r="AC239" s="8">
        <v>0</v>
      </c>
      <c r="AD239" s="8">
        <v>0</v>
      </c>
      <c r="AE239" s="8">
        <v>0</v>
      </c>
      <c r="AF239" s="8">
        <v>0</v>
      </c>
      <c r="AG239" s="8">
        <v>0</v>
      </c>
      <c r="AH239" s="8">
        <v>0</v>
      </c>
      <c r="AI239" s="8">
        <v>0</v>
      </c>
      <c r="AJ239" s="8">
        <v>0</v>
      </c>
      <c r="AK239" s="8">
        <v>0</v>
      </c>
      <c r="AL239" s="8">
        <v>0</v>
      </c>
      <c r="AM239" s="8">
        <v>0</v>
      </c>
      <c r="AN239" s="8">
        <v>0</v>
      </c>
      <c r="AO239" s="8">
        <v>0</v>
      </c>
      <c r="AP239" s="8">
        <v>0</v>
      </c>
      <c r="AQ239" s="8">
        <v>0</v>
      </c>
      <c r="AR239" s="8">
        <v>0</v>
      </c>
      <c r="AS239" s="8">
        <v>0</v>
      </c>
      <c r="AT239" s="8">
        <v>0</v>
      </c>
      <c r="AU239" s="8">
        <v>0</v>
      </c>
      <c r="AV239" s="8">
        <v>0</v>
      </c>
      <c r="AW239" s="8">
        <v>0</v>
      </c>
      <c r="AX239" s="8">
        <v>0</v>
      </c>
      <c r="AY239" s="8">
        <v>0</v>
      </c>
      <c r="AZ239" s="8">
        <v>0</v>
      </c>
      <c r="BA239" s="8">
        <v>0</v>
      </c>
      <c r="BB239" s="12">
        <f t="shared" si="308"/>
        <v>0</v>
      </c>
      <c r="BC239" s="12">
        <f t="shared" si="309"/>
        <v>0</v>
      </c>
      <c r="BD239" s="12">
        <f t="shared" si="310"/>
        <v>0</v>
      </c>
      <c r="BE239" s="8">
        <v>0</v>
      </c>
      <c r="BF239" s="8">
        <v>0</v>
      </c>
      <c r="BG239" s="8">
        <v>0</v>
      </c>
      <c r="BH239" s="8">
        <v>0</v>
      </c>
      <c r="BI239" s="8">
        <v>0</v>
      </c>
      <c r="BJ239" s="8">
        <v>0</v>
      </c>
      <c r="BK239" s="8">
        <v>0</v>
      </c>
      <c r="BL239" s="8">
        <v>0</v>
      </c>
      <c r="BM239" s="8">
        <v>0</v>
      </c>
      <c r="BN239" s="3">
        <f>MIN(N239:BM239:BM239)</f>
        <v>0</v>
      </c>
      <c r="BO239" s="3">
        <f t="shared" si="312"/>
        <v>0</v>
      </c>
    </row>
    <row r="240" spans="1:67" ht="19.5" customHeight="1">
      <c r="A240" s="10">
        <f t="shared" si="295"/>
        <v>239</v>
      </c>
      <c r="B240" s="6">
        <v>62322</v>
      </c>
      <c r="C240" s="11" t="s">
        <v>379</v>
      </c>
      <c r="D240" s="30" t="s">
        <v>325</v>
      </c>
      <c r="E240" s="11" t="s">
        <v>374</v>
      </c>
      <c r="F240" s="46">
        <v>0</v>
      </c>
      <c r="G240" s="39" t="s">
        <v>379</v>
      </c>
      <c r="H240" s="48">
        <v>0</v>
      </c>
      <c r="I240" s="6">
        <v>0</v>
      </c>
      <c r="J240" s="8">
        <v>0</v>
      </c>
      <c r="K240" s="24" t="s">
        <v>383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8">
        <v>0</v>
      </c>
      <c r="T240" s="8">
        <v>0</v>
      </c>
      <c r="U240" s="8">
        <v>0</v>
      </c>
      <c r="V240" s="8">
        <v>0</v>
      </c>
      <c r="W240" s="8">
        <v>0</v>
      </c>
      <c r="X240" s="8">
        <v>0</v>
      </c>
      <c r="Y240" s="8">
        <v>0</v>
      </c>
      <c r="Z240" s="8">
        <v>0</v>
      </c>
      <c r="AA240" s="8">
        <v>0</v>
      </c>
      <c r="AB240" s="8">
        <v>0</v>
      </c>
      <c r="AC240" s="8">
        <v>0</v>
      </c>
      <c r="AD240" s="8">
        <v>0</v>
      </c>
      <c r="AE240" s="8">
        <v>0</v>
      </c>
      <c r="AF240" s="8">
        <v>0</v>
      </c>
      <c r="AG240" s="8">
        <v>0</v>
      </c>
      <c r="AH240" s="8">
        <v>0</v>
      </c>
      <c r="AI240" s="8">
        <v>0</v>
      </c>
      <c r="AJ240" s="8">
        <v>0</v>
      </c>
      <c r="AK240" s="8">
        <v>0</v>
      </c>
      <c r="AL240" s="8">
        <v>0</v>
      </c>
      <c r="AM240" s="8">
        <v>0</v>
      </c>
      <c r="AN240" s="8">
        <v>0</v>
      </c>
      <c r="AO240" s="8">
        <v>0</v>
      </c>
      <c r="AP240" s="8">
        <v>0</v>
      </c>
      <c r="AQ240" s="8">
        <v>0</v>
      </c>
      <c r="AR240" s="8">
        <v>0</v>
      </c>
      <c r="AS240" s="8">
        <v>0</v>
      </c>
      <c r="AT240" s="8">
        <v>0</v>
      </c>
      <c r="AU240" s="8">
        <v>0</v>
      </c>
      <c r="AV240" s="8">
        <v>0</v>
      </c>
      <c r="AW240" s="8">
        <v>0</v>
      </c>
      <c r="AX240" s="8">
        <v>0</v>
      </c>
      <c r="AY240" s="8">
        <v>0</v>
      </c>
      <c r="AZ240" s="8">
        <v>0</v>
      </c>
      <c r="BA240" s="8">
        <v>0</v>
      </c>
      <c r="BB240" s="12">
        <f t="shared" si="308"/>
        <v>0</v>
      </c>
      <c r="BC240" s="12">
        <f t="shared" si="309"/>
        <v>0</v>
      </c>
      <c r="BD240" s="12">
        <f t="shared" si="310"/>
        <v>0</v>
      </c>
      <c r="BE240" s="8">
        <v>0</v>
      </c>
      <c r="BF240" s="8">
        <v>0</v>
      </c>
      <c r="BG240" s="8">
        <v>0</v>
      </c>
      <c r="BH240" s="8">
        <v>0</v>
      </c>
      <c r="BI240" s="8">
        <v>0</v>
      </c>
      <c r="BJ240" s="8">
        <v>0</v>
      </c>
      <c r="BK240" s="8">
        <v>0</v>
      </c>
      <c r="BL240" s="8">
        <v>0</v>
      </c>
      <c r="BM240" s="8">
        <v>0</v>
      </c>
      <c r="BN240" s="3">
        <f>MIN(N240:BM240:BM240)</f>
        <v>0</v>
      </c>
      <c r="BO240" s="3">
        <f t="shared" si="312"/>
        <v>0</v>
      </c>
    </row>
    <row r="241" spans="1:67" ht="19.5" customHeight="1">
      <c r="A241" s="10">
        <f t="shared" si="295"/>
        <v>240</v>
      </c>
      <c r="B241" s="6">
        <v>66821</v>
      </c>
      <c r="C241" s="11" t="s">
        <v>379</v>
      </c>
      <c r="D241" s="30" t="s">
        <v>320</v>
      </c>
      <c r="E241" s="11" t="s">
        <v>374</v>
      </c>
      <c r="F241" s="46">
        <v>0</v>
      </c>
      <c r="G241" s="39" t="s">
        <v>379</v>
      </c>
      <c r="H241" s="48">
        <v>0</v>
      </c>
      <c r="I241" s="6">
        <v>0</v>
      </c>
      <c r="J241" s="8">
        <v>0</v>
      </c>
      <c r="K241" s="24" t="s">
        <v>383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8">
        <v>0</v>
      </c>
      <c r="W241" s="8">
        <v>0</v>
      </c>
      <c r="X241" s="8">
        <v>0</v>
      </c>
      <c r="Y241" s="8">
        <v>0</v>
      </c>
      <c r="Z241" s="8">
        <v>0</v>
      </c>
      <c r="AA241" s="8">
        <v>0</v>
      </c>
      <c r="AB241" s="8">
        <v>0</v>
      </c>
      <c r="AC241" s="8">
        <v>0</v>
      </c>
      <c r="AD241" s="8">
        <v>0</v>
      </c>
      <c r="AE241" s="8">
        <v>0</v>
      </c>
      <c r="AF241" s="8">
        <v>0</v>
      </c>
      <c r="AG241" s="8">
        <v>0</v>
      </c>
      <c r="AH241" s="8">
        <v>0</v>
      </c>
      <c r="AI241" s="8">
        <v>0</v>
      </c>
      <c r="AJ241" s="8">
        <v>0</v>
      </c>
      <c r="AK241" s="8">
        <v>0</v>
      </c>
      <c r="AL241" s="8">
        <v>0</v>
      </c>
      <c r="AM241" s="8">
        <v>0</v>
      </c>
      <c r="AN241" s="8">
        <v>0</v>
      </c>
      <c r="AO241" s="8">
        <v>0</v>
      </c>
      <c r="AP241" s="8">
        <v>0</v>
      </c>
      <c r="AQ241" s="8">
        <v>0</v>
      </c>
      <c r="AR241" s="8">
        <v>0</v>
      </c>
      <c r="AS241" s="8">
        <v>0</v>
      </c>
      <c r="AT241" s="8">
        <v>0</v>
      </c>
      <c r="AU241" s="8">
        <v>0</v>
      </c>
      <c r="AV241" s="8">
        <v>0</v>
      </c>
      <c r="AW241" s="8">
        <v>0</v>
      </c>
      <c r="AX241" s="8">
        <v>0</v>
      </c>
      <c r="AY241" s="8">
        <v>0</v>
      </c>
      <c r="AZ241" s="8">
        <v>0</v>
      </c>
      <c r="BA241" s="8">
        <v>0</v>
      </c>
      <c r="BB241" s="12">
        <f t="shared" si="308"/>
        <v>0</v>
      </c>
      <c r="BC241" s="12">
        <f t="shared" si="309"/>
        <v>0</v>
      </c>
      <c r="BD241" s="12">
        <f t="shared" si="310"/>
        <v>0</v>
      </c>
      <c r="BE241" s="8">
        <v>0</v>
      </c>
      <c r="BF241" s="8">
        <v>0</v>
      </c>
      <c r="BG241" s="8">
        <v>0</v>
      </c>
      <c r="BH241" s="8">
        <v>0</v>
      </c>
      <c r="BI241" s="8">
        <v>0</v>
      </c>
      <c r="BJ241" s="8">
        <v>0</v>
      </c>
      <c r="BK241" s="8">
        <v>0</v>
      </c>
      <c r="BL241" s="8">
        <v>0</v>
      </c>
      <c r="BM241" s="8">
        <v>0</v>
      </c>
      <c r="BN241" s="3">
        <f>MIN(N241:BM241:BM241)</f>
        <v>0</v>
      </c>
      <c r="BO241" s="3">
        <f t="shared" si="312"/>
        <v>0</v>
      </c>
    </row>
    <row r="242" spans="1:67" ht="19.5" customHeight="1">
      <c r="A242" s="10">
        <f t="shared" si="295"/>
        <v>241</v>
      </c>
      <c r="B242" s="6">
        <v>66984</v>
      </c>
      <c r="C242" s="11" t="s">
        <v>379</v>
      </c>
      <c r="D242" s="30" t="s">
        <v>319</v>
      </c>
      <c r="E242" s="11" t="s">
        <v>374</v>
      </c>
      <c r="F242" s="46">
        <v>0</v>
      </c>
      <c r="G242" s="39" t="s">
        <v>379</v>
      </c>
      <c r="H242" s="48">
        <v>0</v>
      </c>
      <c r="I242" s="6">
        <v>0</v>
      </c>
      <c r="J242" s="8">
        <v>0</v>
      </c>
      <c r="K242" s="24" t="s">
        <v>383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8">
        <v>0</v>
      </c>
      <c r="AA242" s="8">
        <v>0</v>
      </c>
      <c r="AB242" s="8">
        <v>0</v>
      </c>
      <c r="AC242" s="8">
        <v>0</v>
      </c>
      <c r="AD242" s="8">
        <v>0</v>
      </c>
      <c r="AE242" s="8">
        <v>0</v>
      </c>
      <c r="AF242" s="8">
        <v>0</v>
      </c>
      <c r="AG242" s="8">
        <v>0</v>
      </c>
      <c r="AH242" s="8">
        <v>0</v>
      </c>
      <c r="AI242" s="8">
        <v>0</v>
      </c>
      <c r="AJ242" s="8">
        <v>0</v>
      </c>
      <c r="AK242" s="8">
        <v>0</v>
      </c>
      <c r="AL242" s="8">
        <v>0</v>
      </c>
      <c r="AM242" s="8">
        <v>0</v>
      </c>
      <c r="AN242" s="8">
        <v>0</v>
      </c>
      <c r="AO242" s="8">
        <v>0</v>
      </c>
      <c r="AP242" s="8">
        <v>0</v>
      </c>
      <c r="AQ242" s="8">
        <v>0</v>
      </c>
      <c r="AR242" s="8">
        <v>0</v>
      </c>
      <c r="AS242" s="8">
        <v>0</v>
      </c>
      <c r="AT242" s="8">
        <v>0</v>
      </c>
      <c r="AU242" s="8">
        <v>0</v>
      </c>
      <c r="AV242" s="8">
        <v>0</v>
      </c>
      <c r="AW242" s="8">
        <v>0</v>
      </c>
      <c r="AX242" s="8">
        <v>0</v>
      </c>
      <c r="AY242" s="8">
        <v>0</v>
      </c>
      <c r="AZ242" s="8">
        <v>0</v>
      </c>
      <c r="BA242" s="8">
        <v>0</v>
      </c>
      <c r="BB242" s="12">
        <f t="shared" si="308"/>
        <v>0</v>
      </c>
      <c r="BC242" s="12">
        <f t="shared" si="309"/>
        <v>0</v>
      </c>
      <c r="BD242" s="12">
        <f t="shared" si="310"/>
        <v>0</v>
      </c>
      <c r="BE242" s="8">
        <v>0</v>
      </c>
      <c r="BF242" s="8">
        <v>0</v>
      </c>
      <c r="BG242" s="8">
        <v>0</v>
      </c>
      <c r="BH242" s="8">
        <v>0</v>
      </c>
      <c r="BI242" s="8">
        <v>0</v>
      </c>
      <c r="BJ242" s="8">
        <v>0</v>
      </c>
      <c r="BK242" s="8">
        <v>0</v>
      </c>
      <c r="BL242" s="8">
        <v>0</v>
      </c>
      <c r="BM242" s="8">
        <v>0</v>
      </c>
      <c r="BN242" s="3">
        <f>MIN(N242:BM242:BM242)</f>
        <v>0</v>
      </c>
      <c r="BO242" s="3">
        <f t="shared" si="312"/>
        <v>0</v>
      </c>
    </row>
    <row r="243" spans="1:67" ht="19.5" customHeight="1">
      <c r="A243" s="10">
        <f t="shared" si="295"/>
        <v>242</v>
      </c>
      <c r="B243" s="6">
        <v>93452</v>
      </c>
      <c r="C243" s="11" t="s">
        <v>379</v>
      </c>
      <c r="D243" s="30" t="s">
        <v>318</v>
      </c>
      <c r="E243" s="11" t="s">
        <v>374</v>
      </c>
      <c r="F243" s="46">
        <v>0</v>
      </c>
      <c r="G243" s="39" t="s">
        <v>379</v>
      </c>
      <c r="H243" s="48">
        <v>0</v>
      </c>
      <c r="I243" s="6">
        <v>0</v>
      </c>
      <c r="J243" s="8">
        <v>0</v>
      </c>
      <c r="K243" s="24" t="s">
        <v>383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8">
        <v>0</v>
      </c>
      <c r="T243" s="8">
        <v>0</v>
      </c>
      <c r="U243" s="8">
        <v>0</v>
      </c>
      <c r="V243" s="8">
        <v>0</v>
      </c>
      <c r="W243" s="8">
        <v>0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0</v>
      </c>
      <c r="AD243" s="8">
        <v>0</v>
      </c>
      <c r="AE243" s="8">
        <v>0</v>
      </c>
      <c r="AF243" s="8">
        <v>0</v>
      </c>
      <c r="AG243" s="8">
        <v>0</v>
      </c>
      <c r="AH243" s="8">
        <v>0</v>
      </c>
      <c r="AI243" s="8">
        <v>0</v>
      </c>
      <c r="AJ243" s="8">
        <v>0</v>
      </c>
      <c r="AK243" s="8">
        <v>0</v>
      </c>
      <c r="AL243" s="8">
        <v>0</v>
      </c>
      <c r="AM243" s="8">
        <v>0</v>
      </c>
      <c r="AN243" s="8">
        <v>0</v>
      </c>
      <c r="AO243" s="8">
        <v>0</v>
      </c>
      <c r="AP243" s="8">
        <v>0</v>
      </c>
      <c r="AQ243" s="8">
        <v>0</v>
      </c>
      <c r="AR243" s="8">
        <v>0</v>
      </c>
      <c r="AS243" s="8">
        <v>0</v>
      </c>
      <c r="AT243" s="8">
        <v>0</v>
      </c>
      <c r="AU243" s="8">
        <v>0</v>
      </c>
      <c r="AV243" s="8">
        <v>0</v>
      </c>
      <c r="AW243" s="8">
        <v>0</v>
      </c>
      <c r="AX243" s="8">
        <v>0</v>
      </c>
      <c r="AY243" s="8">
        <v>0</v>
      </c>
      <c r="AZ243" s="8">
        <v>0</v>
      </c>
      <c r="BA243" s="8">
        <v>0</v>
      </c>
      <c r="BB243" s="12">
        <f t="shared" si="308"/>
        <v>0</v>
      </c>
      <c r="BC243" s="12">
        <f t="shared" si="309"/>
        <v>0</v>
      </c>
      <c r="BD243" s="12">
        <f t="shared" si="310"/>
        <v>0</v>
      </c>
      <c r="BE243" s="8">
        <v>0</v>
      </c>
      <c r="BF243" s="8">
        <v>0</v>
      </c>
      <c r="BG243" s="8">
        <v>0</v>
      </c>
      <c r="BH243" s="8">
        <v>0</v>
      </c>
      <c r="BI243" s="8">
        <v>0</v>
      </c>
      <c r="BJ243" s="8">
        <v>0</v>
      </c>
      <c r="BK243" s="8">
        <v>0</v>
      </c>
      <c r="BL243" s="8">
        <v>0</v>
      </c>
      <c r="BM243" s="8">
        <v>0</v>
      </c>
      <c r="BN243" s="3">
        <f>MIN(N243:BM243:BM243)</f>
        <v>0</v>
      </c>
      <c r="BO243" s="3">
        <f t="shared" si="312"/>
        <v>0</v>
      </c>
    </row>
    <row r="244" spans="1:67" ht="19.5" customHeight="1">
      <c r="A244" s="10">
        <f t="shared" si="295"/>
        <v>243</v>
      </c>
      <c r="B244" s="6">
        <v>95810</v>
      </c>
      <c r="C244" s="11" t="s">
        <v>379</v>
      </c>
      <c r="D244" s="30" t="s">
        <v>317</v>
      </c>
      <c r="E244" s="11" t="s">
        <v>374</v>
      </c>
      <c r="F244" s="46">
        <v>0</v>
      </c>
      <c r="G244" s="39" t="s">
        <v>379</v>
      </c>
      <c r="H244" s="48">
        <v>0</v>
      </c>
      <c r="I244" s="6">
        <v>0</v>
      </c>
      <c r="J244" s="8">
        <v>0</v>
      </c>
      <c r="K244" s="24" t="s">
        <v>383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8">
        <v>0</v>
      </c>
      <c r="AA244" s="8">
        <v>0</v>
      </c>
      <c r="AB244" s="8">
        <v>0</v>
      </c>
      <c r="AC244" s="8">
        <v>0</v>
      </c>
      <c r="AD244" s="8">
        <v>0</v>
      </c>
      <c r="AE244" s="8">
        <v>0</v>
      </c>
      <c r="AF244" s="8">
        <v>0</v>
      </c>
      <c r="AG244" s="8">
        <v>0</v>
      </c>
      <c r="AH244" s="8">
        <v>0</v>
      </c>
      <c r="AI244" s="8">
        <v>0</v>
      </c>
      <c r="AJ244" s="8">
        <v>0</v>
      </c>
      <c r="AK244" s="8">
        <v>0</v>
      </c>
      <c r="AL244" s="8">
        <v>0</v>
      </c>
      <c r="AM244" s="8">
        <v>0</v>
      </c>
      <c r="AN244" s="8">
        <v>0</v>
      </c>
      <c r="AO244" s="8">
        <v>0</v>
      </c>
      <c r="AP244" s="8">
        <v>0</v>
      </c>
      <c r="AQ244" s="8">
        <v>0</v>
      </c>
      <c r="AR244" s="8">
        <v>0</v>
      </c>
      <c r="AS244" s="8">
        <v>0</v>
      </c>
      <c r="AT244" s="8">
        <v>0</v>
      </c>
      <c r="AU244" s="8">
        <v>0</v>
      </c>
      <c r="AV244" s="8">
        <v>0</v>
      </c>
      <c r="AW244" s="8">
        <v>0</v>
      </c>
      <c r="AX244" s="8">
        <v>0</v>
      </c>
      <c r="AY244" s="8">
        <v>0</v>
      </c>
      <c r="AZ244" s="8">
        <v>0</v>
      </c>
      <c r="BA244" s="8">
        <v>0</v>
      </c>
      <c r="BB244" s="12">
        <f t="shared" si="308"/>
        <v>0</v>
      </c>
      <c r="BC244" s="12">
        <f t="shared" si="309"/>
        <v>0</v>
      </c>
      <c r="BD244" s="12">
        <f t="shared" si="310"/>
        <v>0</v>
      </c>
      <c r="BE244" s="8">
        <v>0</v>
      </c>
      <c r="BF244" s="8">
        <v>0</v>
      </c>
      <c r="BG244" s="8">
        <v>0</v>
      </c>
      <c r="BH244" s="8">
        <v>0</v>
      </c>
      <c r="BI244" s="8">
        <v>0</v>
      </c>
      <c r="BJ244" s="8">
        <v>0</v>
      </c>
      <c r="BK244" s="8">
        <v>0</v>
      </c>
      <c r="BL244" s="8">
        <v>0</v>
      </c>
      <c r="BM244" s="8">
        <v>0</v>
      </c>
      <c r="BN244" s="3">
        <f>MIN(N244:BM244:BM244)</f>
        <v>0</v>
      </c>
      <c r="BO244" s="3">
        <f t="shared" si="312"/>
        <v>0</v>
      </c>
    </row>
    <row r="245" spans="1:67" ht="19.5" customHeight="1">
      <c r="A245" s="10">
        <f t="shared" si="295"/>
        <v>244</v>
      </c>
      <c r="B245" s="6">
        <v>64640</v>
      </c>
      <c r="C245" s="11" t="s">
        <v>378</v>
      </c>
      <c r="D245" s="29" t="s">
        <v>96</v>
      </c>
      <c r="E245" s="11" t="s">
        <v>375</v>
      </c>
      <c r="F245" s="42">
        <f>2022+H245</f>
        <v>20794.65</v>
      </c>
      <c r="G245" s="6">
        <v>360</v>
      </c>
      <c r="H245" s="49">
        <f>6257.55*3</f>
        <v>18772.65</v>
      </c>
      <c r="I245" s="6">
        <v>0</v>
      </c>
      <c r="J245" s="8">
        <f aca="true" t="shared" si="314" ref="J245:J288">L245*1.3</f>
        <v>1069.1589999999999</v>
      </c>
      <c r="K245" s="52" t="s">
        <v>383</v>
      </c>
      <c r="L245" s="8">
        <v>822.43</v>
      </c>
      <c r="M245" s="8">
        <v>45</v>
      </c>
      <c r="N245" s="17">
        <f>1178.3+6257.55</f>
        <v>7435.85</v>
      </c>
      <c r="O245" s="7">
        <f aca="true" t="shared" si="315" ref="O245:O263">L245</f>
        <v>822.43</v>
      </c>
      <c r="P245" s="8">
        <f aca="true" t="shared" si="316" ref="P245:P263">1.25*L245</f>
        <v>1028.0375</v>
      </c>
      <c r="Q245" s="14">
        <v>0</v>
      </c>
      <c r="R245" s="14">
        <v>0</v>
      </c>
      <c r="S245" s="9">
        <f aca="true" t="shared" si="317" ref="S245:S263">L245</f>
        <v>822.43</v>
      </c>
      <c r="T245" s="3">
        <f>1726+16232</f>
        <v>17958</v>
      </c>
      <c r="U245" s="7">
        <f>340*5.9*1.063+6257.55*1.05</f>
        <v>8702.8055</v>
      </c>
      <c r="V245" s="9">
        <f aca="true" t="shared" si="318" ref="V245:V263">L245</f>
        <v>822.43</v>
      </c>
      <c r="W245" s="7">
        <f>L245</f>
        <v>822.43</v>
      </c>
      <c r="X245" s="14">
        <f aca="true" t="shared" si="319" ref="X245:X263">L245</f>
        <v>822.43</v>
      </c>
      <c r="Y245" s="17">
        <f>1093+H245*0.373</f>
        <v>8095.198450000001</v>
      </c>
      <c r="Z245" s="4">
        <f aca="true" t="shared" si="320" ref="Z245:Z263">L245*0.95</f>
        <v>781.3084999999999</v>
      </c>
      <c r="AA245" s="4">
        <f aca="true" t="shared" si="321" ref="AA245:AA263">L245*0.95</f>
        <v>781.3084999999999</v>
      </c>
      <c r="AB245" s="14">
        <v>0</v>
      </c>
      <c r="AC245" s="14">
        <v>0</v>
      </c>
      <c r="AD245" s="14">
        <f aca="true" t="shared" si="322" ref="AD245:AD263">L245</f>
        <v>822.43</v>
      </c>
      <c r="AE245" s="14">
        <f aca="true" t="shared" si="323" ref="AE245:AE263">L245</f>
        <v>822.43</v>
      </c>
      <c r="AF245" s="14">
        <v>0</v>
      </c>
      <c r="AG245" s="7">
        <f aca="true" t="shared" si="324" ref="AG245:AG256">F245*0.7+H245*0.7</f>
        <v>27697.11</v>
      </c>
      <c r="AH245" s="12">
        <f aca="true" t="shared" si="325" ref="AH245:AH263">L245*1.1</f>
        <v>904.673</v>
      </c>
      <c r="AI245" s="8">
        <f aca="true" t="shared" si="326" ref="AI245:AI263">L245</f>
        <v>822.43</v>
      </c>
      <c r="AJ245" s="14">
        <f aca="true" t="shared" si="327" ref="AJ245:AJ263">L245*1.36</f>
        <v>1118.5048</v>
      </c>
      <c r="AK245" s="14">
        <f aca="true" t="shared" si="328" ref="AK245:AK263">L245</f>
        <v>822.43</v>
      </c>
      <c r="AL245" s="14">
        <f aca="true" t="shared" si="329" ref="AL245:AL263">L245</f>
        <v>822.43</v>
      </c>
      <c r="AM245" s="7">
        <f aca="true" t="shared" si="330" ref="AM245:AM263">L245</f>
        <v>822.43</v>
      </c>
      <c r="AN245" s="7">
        <f aca="true" t="shared" si="331" ref="AN245:AN263">L245</f>
        <v>822.43</v>
      </c>
      <c r="AO245" s="7">
        <f aca="true" t="shared" si="332" ref="AO245:AO263">L245*0.8</f>
        <v>657.944</v>
      </c>
      <c r="AP245" s="14">
        <f aca="true" t="shared" si="333" ref="AP245:AP263">L245</f>
        <v>822.43</v>
      </c>
      <c r="AQ245" s="7">
        <f aca="true" t="shared" si="334" ref="AQ245:AQ256">F245*0.5+H245*0.5</f>
        <v>19783.65</v>
      </c>
      <c r="AR245" s="7">
        <f aca="true" t="shared" si="335" ref="AR245:AR263">M245*2.5</f>
        <v>112.5</v>
      </c>
      <c r="AS245" s="14">
        <f aca="true" t="shared" si="336" ref="AS245:AS263">L245</f>
        <v>822.43</v>
      </c>
      <c r="AT245" s="7">
        <f aca="true" t="shared" si="337" ref="AT245:AT263">L245</f>
        <v>822.43</v>
      </c>
      <c r="AU245" s="7">
        <f aca="true" t="shared" si="338" ref="AU245:AU263">M245*1.1</f>
        <v>49.50000000000001</v>
      </c>
      <c r="AV245" s="14">
        <f aca="true" t="shared" si="339" ref="AV245:AV263">L245</f>
        <v>822.43</v>
      </c>
      <c r="AW245" s="7">
        <f aca="true" t="shared" si="340" ref="AW245:AW263">L245*0.95</f>
        <v>781.3084999999999</v>
      </c>
      <c r="AX245" s="7">
        <f aca="true" t="shared" si="341" ref="AX245:AX263">L245*0.88</f>
        <v>723.7384</v>
      </c>
      <c r="AY245" s="14">
        <v>0</v>
      </c>
      <c r="AZ245" s="14">
        <v>0</v>
      </c>
      <c r="BA245" s="14">
        <v>0</v>
      </c>
      <c r="BB245" s="12">
        <f t="shared" si="308"/>
        <v>822.43</v>
      </c>
      <c r="BC245" s="12">
        <f t="shared" si="309"/>
        <v>904.673</v>
      </c>
      <c r="BD245" s="12">
        <f t="shared" si="310"/>
        <v>740.187</v>
      </c>
      <c r="BE245" s="14">
        <v>0</v>
      </c>
      <c r="BF245" s="14">
        <v>0</v>
      </c>
      <c r="BG245" s="14">
        <v>0</v>
      </c>
      <c r="BH245" s="7">
        <f aca="true" t="shared" si="342" ref="BH245:BH263">L245*1.2</f>
        <v>986.9159999999999</v>
      </c>
      <c r="BI245" s="14">
        <f aca="true" t="shared" si="343" ref="BI245:BI263">L245</f>
        <v>822.43</v>
      </c>
      <c r="BJ245" s="8">
        <f aca="true" t="shared" si="344" ref="BJ245:BJ263">L245*0.95</f>
        <v>781.3084999999999</v>
      </c>
      <c r="BK245" s="14">
        <f aca="true" t="shared" si="345" ref="BK245:BK263">L245</f>
        <v>822.43</v>
      </c>
      <c r="BL245" s="17">
        <f>957+6257.55*1.02</f>
        <v>7339.701</v>
      </c>
      <c r="BM245" s="14">
        <f aca="true" t="shared" si="346" ref="BM245:BM263">L245</f>
        <v>822.43</v>
      </c>
      <c r="BN245" s="8">
        <f aca="true" t="shared" si="347" ref="BN245:BN288">MIN(N245:BM245)</f>
        <v>0</v>
      </c>
      <c r="BO245" s="8">
        <f t="shared" si="312"/>
        <v>27697.11</v>
      </c>
    </row>
    <row r="246" spans="1:67" ht="19.5" customHeight="1">
      <c r="A246" s="10">
        <f t="shared" si="295"/>
        <v>245</v>
      </c>
      <c r="B246" s="6">
        <v>63047</v>
      </c>
      <c r="C246" s="11" t="s">
        <v>378</v>
      </c>
      <c r="D246" s="29" t="s">
        <v>97</v>
      </c>
      <c r="E246" s="11" t="s">
        <v>375</v>
      </c>
      <c r="F246" s="42">
        <f>8453+H246</f>
        <v>12730.79</v>
      </c>
      <c r="G246" s="6">
        <v>360</v>
      </c>
      <c r="H246" s="49">
        <f>1425.93*3</f>
        <v>4277.79</v>
      </c>
      <c r="I246" s="6">
        <v>0</v>
      </c>
      <c r="J246" s="8">
        <f t="shared" si="314"/>
        <v>8144.435</v>
      </c>
      <c r="K246" s="52" t="s">
        <v>383</v>
      </c>
      <c r="L246" s="8">
        <v>6264.95</v>
      </c>
      <c r="M246" s="8">
        <v>70</v>
      </c>
      <c r="N246" s="17">
        <f>3907+1425.93</f>
        <v>5332.93</v>
      </c>
      <c r="O246" s="7">
        <f t="shared" si="315"/>
        <v>6264.95</v>
      </c>
      <c r="P246" s="8">
        <f t="shared" si="316"/>
        <v>7831.1875</v>
      </c>
      <c r="Q246" s="14">
        <v>0</v>
      </c>
      <c r="R246" s="14">
        <v>0</v>
      </c>
      <c r="S246" s="9">
        <f t="shared" si="317"/>
        <v>6264.95</v>
      </c>
      <c r="T246" s="4">
        <f>3436+H246</f>
        <v>7713.79</v>
      </c>
      <c r="U246" s="7">
        <f>1015*5.9*1.063+1425.93*1.05</f>
        <v>7863.002</v>
      </c>
      <c r="V246" s="9">
        <f t="shared" si="318"/>
        <v>6264.95</v>
      </c>
      <c r="W246" s="7">
        <f aca="true" t="shared" si="348" ref="W246:W263">L246</f>
        <v>6264.95</v>
      </c>
      <c r="X246" s="14">
        <f t="shared" si="319"/>
        <v>6264.95</v>
      </c>
      <c r="Y246" s="17">
        <f>3462+H246*0.373</f>
        <v>5057.61567</v>
      </c>
      <c r="Z246" s="4">
        <f t="shared" si="320"/>
        <v>5951.702499999999</v>
      </c>
      <c r="AA246" s="4">
        <f t="shared" si="321"/>
        <v>5951.702499999999</v>
      </c>
      <c r="AB246" s="14">
        <v>0</v>
      </c>
      <c r="AC246" s="14">
        <v>0</v>
      </c>
      <c r="AD246" s="14">
        <f t="shared" si="322"/>
        <v>6264.95</v>
      </c>
      <c r="AE246" s="14">
        <f t="shared" si="323"/>
        <v>6264.95</v>
      </c>
      <c r="AF246" s="14">
        <v>0</v>
      </c>
      <c r="AG246" s="7">
        <f t="shared" si="324"/>
        <v>11906.006</v>
      </c>
      <c r="AH246" s="12">
        <f t="shared" si="325"/>
        <v>6891.445000000001</v>
      </c>
      <c r="AI246" s="8">
        <f t="shared" si="326"/>
        <v>6264.95</v>
      </c>
      <c r="AJ246" s="14">
        <f t="shared" si="327"/>
        <v>8520.332</v>
      </c>
      <c r="AK246" s="14">
        <f t="shared" si="328"/>
        <v>6264.95</v>
      </c>
      <c r="AL246" s="14">
        <f t="shared" si="329"/>
        <v>6264.95</v>
      </c>
      <c r="AM246" s="7">
        <f t="shared" si="330"/>
        <v>6264.95</v>
      </c>
      <c r="AN246" s="7">
        <f t="shared" si="331"/>
        <v>6264.95</v>
      </c>
      <c r="AO246" s="7">
        <f t="shared" si="332"/>
        <v>5011.96</v>
      </c>
      <c r="AP246" s="14">
        <f t="shared" si="333"/>
        <v>6264.95</v>
      </c>
      <c r="AQ246" s="7">
        <f t="shared" si="334"/>
        <v>8504.29</v>
      </c>
      <c r="AR246" s="7">
        <f t="shared" si="335"/>
        <v>175</v>
      </c>
      <c r="AS246" s="14">
        <f t="shared" si="336"/>
        <v>6264.95</v>
      </c>
      <c r="AT246" s="7">
        <f t="shared" si="337"/>
        <v>6264.95</v>
      </c>
      <c r="AU246" s="7">
        <f t="shared" si="338"/>
        <v>77</v>
      </c>
      <c r="AV246" s="14">
        <f t="shared" si="339"/>
        <v>6264.95</v>
      </c>
      <c r="AW246" s="7">
        <f t="shared" si="340"/>
        <v>5951.702499999999</v>
      </c>
      <c r="AX246" s="7">
        <f t="shared" si="341"/>
        <v>5513.156</v>
      </c>
      <c r="AY246" s="14">
        <v>0</v>
      </c>
      <c r="AZ246" s="14">
        <v>0</v>
      </c>
      <c r="BA246" s="14">
        <v>0</v>
      </c>
      <c r="BB246" s="12">
        <f t="shared" si="308"/>
        <v>6264.95</v>
      </c>
      <c r="BC246" s="12">
        <f t="shared" si="309"/>
        <v>6891.445000000001</v>
      </c>
      <c r="BD246" s="12">
        <f t="shared" si="310"/>
        <v>5638.455</v>
      </c>
      <c r="BE246" s="14">
        <v>0</v>
      </c>
      <c r="BF246" s="14">
        <v>0</v>
      </c>
      <c r="BG246" s="14">
        <v>0</v>
      </c>
      <c r="BH246" s="7">
        <f t="shared" si="342"/>
        <v>7517.94</v>
      </c>
      <c r="BI246" s="14">
        <f t="shared" si="343"/>
        <v>6264.95</v>
      </c>
      <c r="BJ246" s="8">
        <f t="shared" si="344"/>
        <v>5951.702499999999</v>
      </c>
      <c r="BK246" s="14">
        <f t="shared" si="345"/>
        <v>6264.95</v>
      </c>
      <c r="BL246" s="17">
        <f>5960+1425.93*1.02</f>
        <v>7414.4486</v>
      </c>
      <c r="BM246" s="14">
        <f t="shared" si="346"/>
        <v>6264.95</v>
      </c>
      <c r="BN246" s="8">
        <f t="shared" si="347"/>
        <v>0</v>
      </c>
      <c r="BO246" s="8">
        <f t="shared" si="312"/>
        <v>11906.006</v>
      </c>
    </row>
    <row r="247" spans="1:67" ht="19.5" customHeight="1">
      <c r="A247" s="10">
        <f t="shared" si="295"/>
        <v>246</v>
      </c>
      <c r="B247" s="6">
        <v>22551</v>
      </c>
      <c r="C247" s="11" t="s">
        <v>378</v>
      </c>
      <c r="D247" s="29" t="s">
        <v>276</v>
      </c>
      <c r="E247" s="11" t="s">
        <v>375</v>
      </c>
      <c r="F247" s="42">
        <f>8453+H247</f>
        <v>22555.499999999993</v>
      </c>
      <c r="G247" s="6">
        <v>360</v>
      </c>
      <c r="H247" s="49">
        <f>4700.83333333333*3</f>
        <v>14102.49999999999</v>
      </c>
      <c r="I247" s="6">
        <v>0</v>
      </c>
      <c r="J247" s="8">
        <f t="shared" si="314"/>
        <v>16009.188</v>
      </c>
      <c r="K247" s="52" t="s">
        <v>383</v>
      </c>
      <c r="L247" s="14">
        <v>12314.76</v>
      </c>
      <c r="M247" s="14">
        <v>100</v>
      </c>
      <c r="N247" s="14">
        <f>4106.65+4700.83333333333</f>
        <v>8807.48333333333</v>
      </c>
      <c r="O247" s="7">
        <f t="shared" si="315"/>
        <v>12314.76</v>
      </c>
      <c r="P247" s="8">
        <f t="shared" si="316"/>
        <v>15393.45</v>
      </c>
      <c r="Q247" s="14">
        <v>0</v>
      </c>
      <c r="R247" s="14">
        <v>0</v>
      </c>
      <c r="S247" s="9">
        <f t="shared" si="317"/>
        <v>12314.76</v>
      </c>
      <c r="T247" s="4">
        <f>6305+H247</f>
        <v>20407.499999999993</v>
      </c>
      <c r="U247" s="14">
        <f>520*5.9*1.063+4700.83333333333*1.05</f>
        <v>8197.158999999996</v>
      </c>
      <c r="V247" s="9">
        <f t="shared" si="318"/>
        <v>12314.76</v>
      </c>
      <c r="W247" s="7">
        <f t="shared" si="348"/>
        <v>12314.76</v>
      </c>
      <c r="X247" s="14">
        <f t="shared" si="319"/>
        <v>12314.76</v>
      </c>
      <c r="Y247" s="14">
        <f>F247*0.392+H247*0.373</f>
        <v>14101.988499999994</v>
      </c>
      <c r="Z247" s="4">
        <f t="shared" si="320"/>
        <v>11699.021999999999</v>
      </c>
      <c r="AA247" s="4">
        <f t="shared" si="321"/>
        <v>11699.021999999999</v>
      </c>
      <c r="AB247" s="14">
        <v>0</v>
      </c>
      <c r="AC247" s="14">
        <v>0</v>
      </c>
      <c r="AD247" s="14">
        <f t="shared" si="322"/>
        <v>12314.76</v>
      </c>
      <c r="AE247" s="14">
        <f t="shared" si="323"/>
        <v>12314.76</v>
      </c>
      <c r="AF247" s="14">
        <v>0</v>
      </c>
      <c r="AG247" s="7">
        <f t="shared" si="324"/>
        <v>25660.599999999984</v>
      </c>
      <c r="AH247" s="12">
        <f t="shared" si="325"/>
        <v>13546.236</v>
      </c>
      <c r="AI247" s="8">
        <f t="shared" si="326"/>
        <v>12314.76</v>
      </c>
      <c r="AJ247" s="14">
        <f t="shared" si="327"/>
        <v>16748.0736</v>
      </c>
      <c r="AK247" s="14">
        <f t="shared" si="328"/>
        <v>12314.76</v>
      </c>
      <c r="AL247" s="14">
        <f t="shared" si="329"/>
        <v>12314.76</v>
      </c>
      <c r="AM247" s="7">
        <f t="shared" si="330"/>
        <v>12314.76</v>
      </c>
      <c r="AN247" s="7">
        <f t="shared" si="331"/>
        <v>12314.76</v>
      </c>
      <c r="AO247" s="7">
        <f t="shared" si="332"/>
        <v>9851.808</v>
      </c>
      <c r="AP247" s="14">
        <f t="shared" si="333"/>
        <v>12314.76</v>
      </c>
      <c r="AQ247" s="7">
        <f t="shared" si="334"/>
        <v>18328.999999999993</v>
      </c>
      <c r="AR247" s="7">
        <f t="shared" si="335"/>
        <v>250</v>
      </c>
      <c r="AS247" s="14">
        <f t="shared" si="336"/>
        <v>12314.76</v>
      </c>
      <c r="AT247" s="7">
        <f t="shared" si="337"/>
        <v>12314.76</v>
      </c>
      <c r="AU247" s="7">
        <f t="shared" si="338"/>
        <v>110.00000000000001</v>
      </c>
      <c r="AV247" s="14">
        <f t="shared" si="339"/>
        <v>12314.76</v>
      </c>
      <c r="AW247" s="7">
        <f t="shared" si="340"/>
        <v>11699.021999999999</v>
      </c>
      <c r="AX247" s="7">
        <f t="shared" si="341"/>
        <v>10836.988800000001</v>
      </c>
      <c r="AY247" s="14">
        <v>0</v>
      </c>
      <c r="AZ247" s="14">
        <v>0</v>
      </c>
      <c r="BA247" s="14">
        <v>0</v>
      </c>
      <c r="BB247" s="12">
        <f t="shared" si="308"/>
        <v>12314.76</v>
      </c>
      <c r="BC247" s="12">
        <f t="shared" si="309"/>
        <v>13546.236</v>
      </c>
      <c r="BD247" s="12">
        <f t="shared" si="310"/>
        <v>11083.284</v>
      </c>
      <c r="BE247" s="14">
        <v>0</v>
      </c>
      <c r="BF247" s="14">
        <v>0</v>
      </c>
      <c r="BG247" s="14">
        <v>0</v>
      </c>
      <c r="BH247" s="7">
        <f t="shared" si="342"/>
        <v>14777.712</v>
      </c>
      <c r="BI247" s="14">
        <f t="shared" si="343"/>
        <v>12314.76</v>
      </c>
      <c r="BJ247" s="14">
        <f t="shared" si="344"/>
        <v>11699.021999999999</v>
      </c>
      <c r="BK247" s="14">
        <f t="shared" si="345"/>
        <v>12314.76</v>
      </c>
      <c r="BL247" s="17">
        <f>5960+N247*1.02</f>
        <v>14943.632999999996</v>
      </c>
      <c r="BM247" s="14">
        <f t="shared" si="346"/>
        <v>12314.76</v>
      </c>
      <c r="BN247" s="14">
        <f t="shared" si="347"/>
        <v>0</v>
      </c>
      <c r="BO247" s="14">
        <f t="shared" si="312"/>
        <v>25660.599999999984</v>
      </c>
    </row>
    <row r="248" spans="1:67" ht="19.5" customHeight="1">
      <c r="A248" s="10">
        <f t="shared" si="295"/>
        <v>247</v>
      </c>
      <c r="B248" s="6">
        <v>28285</v>
      </c>
      <c r="C248" s="11" t="s">
        <v>378</v>
      </c>
      <c r="D248" s="29" t="s">
        <v>159</v>
      </c>
      <c r="E248" s="11" t="s">
        <v>375</v>
      </c>
      <c r="F248" s="42">
        <f>4064+H248</f>
        <v>12032.833999999999</v>
      </c>
      <c r="G248" s="6">
        <v>360</v>
      </c>
      <c r="H248" s="47">
        <f>2656.278*3</f>
        <v>7968.833999999999</v>
      </c>
      <c r="I248" s="6">
        <v>0</v>
      </c>
      <c r="J248" s="8">
        <f t="shared" si="314"/>
        <v>3679.5200000000004</v>
      </c>
      <c r="K248" s="52" t="s">
        <v>383</v>
      </c>
      <c r="L248" s="14">
        <v>2830.4</v>
      </c>
      <c r="M248" s="14">
        <v>75</v>
      </c>
      <c r="N248" s="14">
        <f>3341.55+2656.278</f>
        <v>5997.8279999999995</v>
      </c>
      <c r="O248" s="7">
        <f t="shared" si="315"/>
        <v>2830.4</v>
      </c>
      <c r="P248" s="8">
        <f t="shared" si="316"/>
        <v>3538</v>
      </c>
      <c r="Q248" s="14">
        <v>0</v>
      </c>
      <c r="R248" s="14">
        <v>0</v>
      </c>
      <c r="S248" s="9">
        <f t="shared" si="317"/>
        <v>2830.4</v>
      </c>
      <c r="T248" s="3">
        <f>3030+H248</f>
        <v>10998.833999999999</v>
      </c>
      <c r="U248" s="14">
        <f>520*5.9*1.063+2656.278*1.05</f>
        <v>6050.375899999999</v>
      </c>
      <c r="V248" s="9">
        <f t="shared" si="318"/>
        <v>2830.4</v>
      </c>
      <c r="W248" s="7">
        <f t="shared" si="348"/>
        <v>2830.4</v>
      </c>
      <c r="X248" s="14">
        <f t="shared" si="319"/>
        <v>2830.4</v>
      </c>
      <c r="Y248" s="14">
        <f>1820+H248*0.373</f>
        <v>4792.375082</v>
      </c>
      <c r="Z248" s="4">
        <f t="shared" si="320"/>
        <v>2688.88</v>
      </c>
      <c r="AA248" s="4">
        <f t="shared" si="321"/>
        <v>2688.88</v>
      </c>
      <c r="AB248" s="14">
        <v>0</v>
      </c>
      <c r="AC248" s="14">
        <v>0</v>
      </c>
      <c r="AD248" s="14">
        <f t="shared" si="322"/>
        <v>2830.4</v>
      </c>
      <c r="AE248" s="14">
        <f t="shared" si="323"/>
        <v>2830.4</v>
      </c>
      <c r="AF248" s="14">
        <v>0</v>
      </c>
      <c r="AG248" s="7">
        <f t="shared" si="324"/>
        <v>14001.167599999997</v>
      </c>
      <c r="AH248" s="12">
        <f t="shared" si="325"/>
        <v>3113.4400000000005</v>
      </c>
      <c r="AI248" s="8">
        <f t="shared" si="326"/>
        <v>2830.4</v>
      </c>
      <c r="AJ248" s="14">
        <f t="shared" si="327"/>
        <v>3849.3440000000005</v>
      </c>
      <c r="AK248" s="14">
        <f t="shared" si="328"/>
        <v>2830.4</v>
      </c>
      <c r="AL248" s="14">
        <f t="shared" si="329"/>
        <v>2830.4</v>
      </c>
      <c r="AM248" s="7">
        <f t="shared" si="330"/>
        <v>2830.4</v>
      </c>
      <c r="AN248" s="7">
        <f t="shared" si="331"/>
        <v>2830.4</v>
      </c>
      <c r="AO248" s="7">
        <f t="shared" si="332"/>
        <v>2264.32</v>
      </c>
      <c r="AP248" s="14">
        <f t="shared" si="333"/>
        <v>2830.4</v>
      </c>
      <c r="AQ248" s="7">
        <f t="shared" si="334"/>
        <v>10000.833999999999</v>
      </c>
      <c r="AR248" s="7">
        <f t="shared" si="335"/>
        <v>187.5</v>
      </c>
      <c r="AS248" s="14">
        <f t="shared" si="336"/>
        <v>2830.4</v>
      </c>
      <c r="AT248" s="7">
        <f t="shared" si="337"/>
        <v>2830.4</v>
      </c>
      <c r="AU248" s="7">
        <f t="shared" si="338"/>
        <v>82.5</v>
      </c>
      <c r="AV248" s="14">
        <f t="shared" si="339"/>
        <v>2830.4</v>
      </c>
      <c r="AW248" s="7">
        <f t="shared" si="340"/>
        <v>2688.88</v>
      </c>
      <c r="AX248" s="7">
        <f t="shared" si="341"/>
        <v>2490.752</v>
      </c>
      <c r="AY248" s="14">
        <v>0</v>
      </c>
      <c r="AZ248" s="14">
        <v>0</v>
      </c>
      <c r="BA248" s="14">
        <v>0</v>
      </c>
      <c r="BB248" s="12">
        <f t="shared" si="308"/>
        <v>2830.4</v>
      </c>
      <c r="BC248" s="12">
        <f t="shared" si="309"/>
        <v>3113.4400000000005</v>
      </c>
      <c r="BD248" s="12">
        <f t="shared" si="310"/>
        <v>2547.36</v>
      </c>
      <c r="BE248" s="14">
        <v>0</v>
      </c>
      <c r="BF248" s="14">
        <v>0</v>
      </c>
      <c r="BG248" s="14">
        <v>0</v>
      </c>
      <c r="BH248" s="7">
        <f t="shared" si="342"/>
        <v>3396.48</v>
      </c>
      <c r="BI248" s="14">
        <f t="shared" si="343"/>
        <v>2830.4</v>
      </c>
      <c r="BJ248" s="14">
        <f t="shared" si="344"/>
        <v>2688.88</v>
      </c>
      <c r="BK248" s="14">
        <f t="shared" si="345"/>
        <v>2830.4</v>
      </c>
      <c r="BL248" s="14">
        <f>2978+N248*1.02</f>
        <v>9095.78456</v>
      </c>
      <c r="BM248" s="14">
        <f t="shared" si="346"/>
        <v>2830.4</v>
      </c>
      <c r="BN248" s="14">
        <f t="shared" si="347"/>
        <v>0</v>
      </c>
      <c r="BO248" s="14">
        <f t="shared" si="312"/>
        <v>14001.167599999997</v>
      </c>
    </row>
    <row r="249" spans="1:67" ht="19.5" customHeight="1">
      <c r="A249" s="10">
        <f t="shared" si="295"/>
        <v>248</v>
      </c>
      <c r="B249" s="6">
        <v>63030</v>
      </c>
      <c r="C249" s="11" t="s">
        <v>378</v>
      </c>
      <c r="D249" s="29" t="s">
        <v>160</v>
      </c>
      <c r="E249" s="11" t="s">
        <v>375</v>
      </c>
      <c r="F249" s="42">
        <f>8453+H249</f>
        <v>13680.32</v>
      </c>
      <c r="G249" s="6">
        <v>360</v>
      </c>
      <c r="H249" s="47">
        <f>1742.44*3</f>
        <v>5227.32</v>
      </c>
      <c r="I249" s="6">
        <v>0</v>
      </c>
      <c r="J249" s="8">
        <f t="shared" si="314"/>
        <v>8144.435</v>
      </c>
      <c r="K249" s="52" t="s">
        <v>383</v>
      </c>
      <c r="L249" s="14">
        <v>6264.95</v>
      </c>
      <c r="M249" s="14">
        <v>70</v>
      </c>
      <c r="N249" s="14">
        <f>3907+1742.44</f>
        <v>5649.4400000000005</v>
      </c>
      <c r="O249" s="7">
        <f t="shared" si="315"/>
        <v>6264.95</v>
      </c>
      <c r="P249" s="8">
        <f t="shared" si="316"/>
        <v>7831.1875</v>
      </c>
      <c r="Q249" s="14">
        <v>0</v>
      </c>
      <c r="R249" s="14">
        <v>0</v>
      </c>
      <c r="S249" s="9">
        <f t="shared" si="317"/>
        <v>6264.95</v>
      </c>
      <c r="T249" s="4">
        <f>3241+H249</f>
        <v>8468.32</v>
      </c>
      <c r="U249" s="7">
        <f>1015*5.9*1.063+1742.44*1.05</f>
        <v>8195.3375</v>
      </c>
      <c r="V249" s="9">
        <f t="shared" si="318"/>
        <v>6264.95</v>
      </c>
      <c r="W249" s="7">
        <f t="shared" si="348"/>
        <v>6264.95</v>
      </c>
      <c r="X249" s="14">
        <f t="shared" si="319"/>
        <v>6264.95</v>
      </c>
      <c r="Y249" s="14">
        <f>3462+H249*0.373</f>
        <v>5411.79036</v>
      </c>
      <c r="Z249" s="4">
        <f t="shared" si="320"/>
        <v>5951.702499999999</v>
      </c>
      <c r="AA249" s="4">
        <f t="shared" si="321"/>
        <v>5951.702499999999</v>
      </c>
      <c r="AB249" s="14">
        <v>0</v>
      </c>
      <c r="AC249" s="14">
        <v>0</v>
      </c>
      <c r="AD249" s="14">
        <f t="shared" si="322"/>
        <v>6264.95</v>
      </c>
      <c r="AE249" s="14">
        <f t="shared" si="323"/>
        <v>6264.95</v>
      </c>
      <c r="AF249" s="14">
        <v>0</v>
      </c>
      <c r="AG249" s="7">
        <f t="shared" si="324"/>
        <v>13235.347999999998</v>
      </c>
      <c r="AH249" s="12">
        <f t="shared" si="325"/>
        <v>6891.445000000001</v>
      </c>
      <c r="AI249" s="8">
        <f t="shared" si="326"/>
        <v>6264.95</v>
      </c>
      <c r="AJ249" s="14">
        <f t="shared" si="327"/>
        <v>8520.332</v>
      </c>
      <c r="AK249" s="14">
        <f t="shared" si="328"/>
        <v>6264.95</v>
      </c>
      <c r="AL249" s="14">
        <f t="shared" si="329"/>
        <v>6264.95</v>
      </c>
      <c r="AM249" s="7">
        <f t="shared" si="330"/>
        <v>6264.95</v>
      </c>
      <c r="AN249" s="7">
        <f t="shared" si="331"/>
        <v>6264.95</v>
      </c>
      <c r="AO249" s="7">
        <f t="shared" si="332"/>
        <v>5011.96</v>
      </c>
      <c r="AP249" s="14">
        <f t="shared" si="333"/>
        <v>6264.95</v>
      </c>
      <c r="AQ249" s="7">
        <f t="shared" si="334"/>
        <v>9453.82</v>
      </c>
      <c r="AR249" s="7">
        <f t="shared" si="335"/>
        <v>175</v>
      </c>
      <c r="AS249" s="14">
        <f t="shared" si="336"/>
        <v>6264.95</v>
      </c>
      <c r="AT249" s="7">
        <f t="shared" si="337"/>
        <v>6264.95</v>
      </c>
      <c r="AU249" s="7">
        <f t="shared" si="338"/>
        <v>77</v>
      </c>
      <c r="AV249" s="14">
        <f t="shared" si="339"/>
        <v>6264.95</v>
      </c>
      <c r="AW249" s="7">
        <f t="shared" si="340"/>
        <v>5951.702499999999</v>
      </c>
      <c r="AX249" s="7">
        <f t="shared" si="341"/>
        <v>5513.156</v>
      </c>
      <c r="AY249" s="14">
        <v>0</v>
      </c>
      <c r="AZ249" s="14">
        <v>0</v>
      </c>
      <c r="BA249" s="14">
        <v>0</v>
      </c>
      <c r="BB249" s="12">
        <f t="shared" si="308"/>
        <v>6264.95</v>
      </c>
      <c r="BC249" s="12">
        <f t="shared" si="309"/>
        <v>6891.445000000001</v>
      </c>
      <c r="BD249" s="12">
        <f t="shared" si="310"/>
        <v>5638.455</v>
      </c>
      <c r="BE249" s="14">
        <v>0</v>
      </c>
      <c r="BF249" s="14">
        <v>0</v>
      </c>
      <c r="BG249" s="14">
        <v>0</v>
      </c>
      <c r="BH249" s="7">
        <f t="shared" si="342"/>
        <v>7517.94</v>
      </c>
      <c r="BI249" s="14">
        <f t="shared" si="343"/>
        <v>6264.95</v>
      </c>
      <c r="BJ249" s="14">
        <f t="shared" si="344"/>
        <v>5951.702499999999</v>
      </c>
      <c r="BK249" s="14">
        <f t="shared" si="345"/>
        <v>6264.95</v>
      </c>
      <c r="BL249" s="17">
        <f>5960+1742.44*1.02</f>
        <v>7737.2888</v>
      </c>
      <c r="BM249" s="14">
        <f t="shared" si="346"/>
        <v>6264.95</v>
      </c>
      <c r="BN249" s="14">
        <f t="shared" si="347"/>
        <v>0</v>
      </c>
      <c r="BO249" s="14">
        <f t="shared" si="312"/>
        <v>13235.347999999998</v>
      </c>
    </row>
    <row r="250" spans="1:67" ht="19.5" customHeight="1">
      <c r="A250" s="10">
        <f t="shared" si="295"/>
        <v>249</v>
      </c>
      <c r="B250" s="6">
        <v>27447</v>
      </c>
      <c r="C250" s="11" t="s">
        <v>378</v>
      </c>
      <c r="D250" s="29" t="s">
        <v>99</v>
      </c>
      <c r="E250" s="11" t="s">
        <v>375</v>
      </c>
      <c r="F250" s="42">
        <f>32760+H250</f>
        <v>49726.685625</v>
      </c>
      <c r="G250" s="6">
        <v>360</v>
      </c>
      <c r="H250" s="50">
        <f>5655.561875*3</f>
        <v>16966.685625000002</v>
      </c>
      <c r="I250" s="6">
        <v>0</v>
      </c>
      <c r="J250" s="8">
        <f t="shared" si="314"/>
        <v>16009.188</v>
      </c>
      <c r="K250" s="52" t="s">
        <v>383</v>
      </c>
      <c r="L250" s="14">
        <v>12314.76</v>
      </c>
      <c r="M250" s="14">
        <v>90</v>
      </c>
      <c r="N250" s="14">
        <v>16355.8</v>
      </c>
      <c r="O250" s="7">
        <f t="shared" si="315"/>
        <v>12314.76</v>
      </c>
      <c r="P250" s="8">
        <f t="shared" si="316"/>
        <v>15393.45</v>
      </c>
      <c r="Q250" s="14">
        <v>0</v>
      </c>
      <c r="R250" s="14">
        <v>0</v>
      </c>
      <c r="S250" s="9">
        <f t="shared" si="317"/>
        <v>12314.76</v>
      </c>
      <c r="T250" s="4">
        <f>6305+10822</f>
        <v>17127</v>
      </c>
      <c r="U250" s="14">
        <f>520*5.9*1.063+5655.561875*1.05</f>
        <v>9199.62396875</v>
      </c>
      <c r="V250" s="9">
        <f t="shared" si="318"/>
        <v>12314.76</v>
      </c>
      <c r="W250" s="7">
        <f t="shared" si="348"/>
        <v>12314.76</v>
      </c>
      <c r="X250" s="14">
        <f t="shared" si="319"/>
        <v>12314.76</v>
      </c>
      <c r="Y250" s="14">
        <f>F250*0.392+H250*0.373</f>
        <v>25821.434503125</v>
      </c>
      <c r="Z250" s="4">
        <f t="shared" si="320"/>
        <v>11699.021999999999</v>
      </c>
      <c r="AA250" s="4">
        <f t="shared" si="321"/>
        <v>11699.021999999999</v>
      </c>
      <c r="AB250" s="14">
        <v>0</v>
      </c>
      <c r="AC250" s="14">
        <v>0</v>
      </c>
      <c r="AD250" s="14">
        <f t="shared" si="322"/>
        <v>12314.76</v>
      </c>
      <c r="AE250" s="14">
        <f t="shared" si="323"/>
        <v>12314.76</v>
      </c>
      <c r="AF250" s="14">
        <v>0</v>
      </c>
      <c r="AG250" s="7">
        <f t="shared" si="324"/>
        <v>46685.359874999995</v>
      </c>
      <c r="AH250" s="12">
        <f t="shared" si="325"/>
        <v>13546.236</v>
      </c>
      <c r="AI250" s="8">
        <f t="shared" si="326"/>
        <v>12314.76</v>
      </c>
      <c r="AJ250" s="14">
        <f t="shared" si="327"/>
        <v>16748.0736</v>
      </c>
      <c r="AK250" s="14">
        <f t="shared" si="328"/>
        <v>12314.76</v>
      </c>
      <c r="AL250" s="14">
        <f t="shared" si="329"/>
        <v>12314.76</v>
      </c>
      <c r="AM250" s="7">
        <f t="shared" si="330"/>
        <v>12314.76</v>
      </c>
      <c r="AN250" s="7">
        <f t="shared" si="331"/>
        <v>12314.76</v>
      </c>
      <c r="AO250" s="7">
        <f t="shared" si="332"/>
        <v>9851.808</v>
      </c>
      <c r="AP250" s="14">
        <f t="shared" si="333"/>
        <v>12314.76</v>
      </c>
      <c r="AQ250" s="7">
        <f t="shared" si="334"/>
        <v>33346.685625</v>
      </c>
      <c r="AR250" s="7">
        <f t="shared" si="335"/>
        <v>225</v>
      </c>
      <c r="AS250" s="14">
        <f t="shared" si="336"/>
        <v>12314.76</v>
      </c>
      <c r="AT250" s="7">
        <f t="shared" si="337"/>
        <v>12314.76</v>
      </c>
      <c r="AU250" s="7">
        <f t="shared" si="338"/>
        <v>99.00000000000001</v>
      </c>
      <c r="AV250" s="14">
        <f t="shared" si="339"/>
        <v>12314.76</v>
      </c>
      <c r="AW250" s="7">
        <f t="shared" si="340"/>
        <v>11699.021999999999</v>
      </c>
      <c r="AX250" s="7">
        <f t="shared" si="341"/>
        <v>10836.988800000001</v>
      </c>
      <c r="AY250" s="14">
        <v>0</v>
      </c>
      <c r="AZ250" s="14">
        <v>0</v>
      </c>
      <c r="BA250" s="14">
        <v>0</v>
      </c>
      <c r="BB250" s="12">
        <f t="shared" si="308"/>
        <v>12314.76</v>
      </c>
      <c r="BC250" s="12">
        <f t="shared" si="309"/>
        <v>13546.236</v>
      </c>
      <c r="BD250" s="12">
        <f t="shared" si="310"/>
        <v>11083.284</v>
      </c>
      <c r="BE250" s="14">
        <v>0</v>
      </c>
      <c r="BF250" s="14">
        <v>0</v>
      </c>
      <c r="BG250" s="14">
        <v>0</v>
      </c>
      <c r="BH250" s="7">
        <f t="shared" si="342"/>
        <v>14777.712</v>
      </c>
      <c r="BI250" s="14">
        <f t="shared" si="343"/>
        <v>12314.76</v>
      </c>
      <c r="BJ250" s="14">
        <f t="shared" si="344"/>
        <v>11699.021999999999</v>
      </c>
      <c r="BK250" s="14">
        <f t="shared" si="345"/>
        <v>12314.76</v>
      </c>
      <c r="BL250" s="14">
        <f>10830+5655.561875*1.02</f>
        <v>16598.6731125</v>
      </c>
      <c r="BM250" s="14">
        <f t="shared" si="346"/>
        <v>12314.76</v>
      </c>
      <c r="BN250" s="14">
        <f t="shared" si="347"/>
        <v>0</v>
      </c>
      <c r="BO250" s="14">
        <f t="shared" si="312"/>
        <v>46685.359874999995</v>
      </c>
    </row>
    <row r="251" spans="1:67" ht="19.5" customHeight="1">
      <c r="A251" s="10">
        <f t="shared" si="295"/>
        <v>250</v>
      </c>
      <c r="B251" s="6">
        <v>20680</v>
      </c>
      <c r="C251" s="11" t="s">
        <v>378</v>
      </c>
      <c r="D251" s="29" t="s">
        <v>49</v>
      </c>
      <c r="E251" s="11" t="s">
        <v>375</v>
      </c>
      <c r="F251" s="42">
        <f>4190+H251</f>
        <v>13405.97500000001</v>
      </c>
      <c r="G251" s="6">
        <v>360</v>
      </c>
      <c r="H251" s="50">
        <f>3071.99166666667*3</f>
        <v>9215.97500000001</v>
      </c>
      <c r="I251" s="6">
        <v>0</v>
      </c>
      <c r="J251" s="8">
        <f t="shared" si="314"/>
        <v>3081.0130000000004</v>
      </c>
      <c r="K251" s="52" t="s">
        <v>383</v>
      </c>
      <c r="L251" s="8">
        <v>2370.01</v>
      </c>
      <c r="M251" s="8">
        <v>58</v>
      </c>
      <c r="N251" s="17">
        <f>3341.55+3071.99166666667</f>
        <v>6413.54166666667</v>
      </c>
      <c r="O251" s="7">
        <f t="shared" si="315"/>
        <v>2370.01</v>
      </c>
      <c r="P251" s="8">
        <f t="shared" si="316"/>
        <v>2962.5125000000003</v>
      </c>
      <c r="Q251" s="14">
        <v>0</v>
      </c>
      <c r="R251" s="14">
        <v>0</v>
      </c>
      <c r="S251" s="9">
        <f t="shared" si="317"/>
        <v>2370.01</v>
      </c>
      <c r="T251" s="3">
        <f>3030+H251</f>
        <v>12245.97500000001</v>
      </c>
      <c r="U251" s="14">
        <f>520*5.9*1.063+3071.99166666667*1.05</f>
        <v>6486.875250000003</v>
      </c>
      <c r="V251" s="9">
        <f t="shared" si="318"/>
        <v>2370.01</v>
      </c>
      <c r="W251" s="7">
        <f t="shared" si="348"/>
        <v>2370.01</v>
      </c>
      <c r="X251" s="14">
        <f t="shared" si="319"/>
        <v>2370.01</v>
      </c>
      <c r="Y251" s="14">
        <f>1820+H251*0.373</f>
        <v>5257.558675000004</v>
      </c>
      <c r="Z251" s="4">
        <f t="shared" si="320"/>
        <v>2251.5095</v>
      </c>
      <c r="AA251" s="4">
        <f t="shared" si="321"/>
        <v>2251.5095</v>
      </c>
      <c r="AB251" s="14">
        <v>0</v>
      </c>
      <c r="AC251" s="14">
        <v>0</v>
      </c>
      <c r="AD251" s="14">
        <f t="shared" si="322"/>
        <v>2370.01</v>
      </c>
      <c r="AE251" s="14">
        <f t="shared" si="323"/>
        <v>2370.01</v>
      </c>
      <c r="AF251" s="14">
        <v>0</v>
      </c>
      <c r="AG251" s="7">
        <f t="shared" si="324"/>
        <v>15835.365000000013</v>
      </c>
      <c r="AH251" s="12">
        <f t="shared" si="325"/>
        <v>2607.0110000000004</v>
      </c>
      <c r="AI251" s="8">
        <f t="shared" si="326"/>
        <v>2370.01</v>
      </c>
      <c r="AJ251" s="14">
        <f t="shared" si="327"/>
        <v>3223.2136000000005</v>
      </c>
      <c r="AK251" s="14">
        <f t="shared" si="328"/>
        <v>2370.01</v>
      </c>
      <c r="AL251" s="14">
        <f t="shared" si="329"/>
        <v>2370.01</v>
      </c>
      <c r="AM251" s="7">
        <f t="shared" si="330"/>
        <v>2370.01</v>
      </c>
      <c r="AN251" s="7">
        <f t="shared" si="331"/>
        <v>2370.01</v>
      </c>
      <c r="AO251" s="7">
        <f t="shared" si="332"/>
        <v>1896.0080000000003</v>
      </c>
      <c r="AP251" s="14">
        <f t="shared" si="333"/>
        <v>2370.01</v>
      </c>
      <c r="AQ251" s="7">
        <f t="shared" si="334"/>
        <v>11310.97500000001</v>
      </c>
      <c r="AR251" s="7">
        <f t="shared" si="335"/>
        <v>145</v>
      </c>
      <c r="AS251" s="14">
        <f t="shared" si="336"/>
        <v>2370.01</v>
      </c>
      <c r="AT251" s="7">
        <f t="shared" si="337"/>
        <v>2370.01</v>
      </c>
      <c r="AU251" s="7">
        <f t="shared" si="338"/>
        <v>63.800000000000004</v>
      </c>
      <c r="AV251" s="14">
        <f t="shared" si="339"/>
        <v>2370.01</v>
      </c>
      <c r="AW251" s="7">
        <f t="shared" si="340"/>
        <v>2251.5095</v>
      </c>
      <c r="AX251" s="7">
        <f t="shared" si="341"/>
        <v>2085.6088000000004</v>
      </c>
      <c r="AY251" s="14">
        <v>0</v>
      </c>
      <c r="AZ251" s="14">
        <v>0</v>
      </c>
      <c r="BA251" s="14">
        <v>0</v>
      </c>
      <c r="BB251" s="12">
        <f t="shared" si="308"/>
        <v>2370.01</v>
      </c>
      <c r="BC251" s="12">
        <f t="shared" si="309"/>
        <v>2607.0110000000004</v>
      </c>
      <c r="BD251" s="12">
        <f t="shared" si="310"/>
        <v>2133.0090000000005</v>
      </c>
      <c r="BE251" s="14">
        <v>0</v>
      </c>
      <c r="BF251" s="14">
        <v>0</v>
      </c>
      <c r="BG251" s="14">
        <v>0</v>
      </c>
      <c r="BH251" s="7">
        <f t="shared" si="342"/>
        <v>2844.012</v>
      </c>
      <c r="BI251" s="14">
        <f t="shared" si="343"/>
        <v>2370.01</v>
      </c>
      <c r="BJ251" s="8">
        <f t="shared" si="344"/>
        <v>2251.5095</v>
      </c>
      <c r="BK251" s="14">
        <f t="shared" si="345"/>
        <v>2370.01</v>
      </c>
      <c r="BL251" s="14">
        <f>2978+3071.99166666667*1.02</f>
        <v>6111.431500000003</v>
      </c>
      <c r="BM251" s="14">
        <f t="shared" si="346"/>
        <v>2370.01</v>
      </c>
      <c r="BN251" s="8">
        <f t="shared" si="347"/>
        <v>0</v>
      </c>
      <c r="BO251" s="8">
        <f aca="true" t="shared" si="349" ref="BO251:BO282">MAX(N251:BM251)</f>
        <v>15835.365000000013</v>
      </c>
    </row>
    <row r="252" spans="1:67" ht="19.5" customHeight="1">
      <c r="A252" s="10">
        <f t="shared" si="295"/>
        <v>251</v>
      </c>
      <c r="B252" s="6">
        <v>63685</v>
      </c>
      <c r="C252" s="11" t="s">
        <v>378</v>
      </c>
      <c r="D252" s="30" t="s">
        <v>162</v>
      </c>
      <c r="E252" s="11" t="s">
        <v>375</v>
      </c>
      <c r="F252" s="42">
        <f>36372+H252</f>
        <v>61066.07000000001</v>
      </c>
      <c r="G252" s="6">
        <v>360</v>
      </c>
      <c r="H252" s="49">
        <f>8231.35666666667*3</f>
        <v>24694.07000000001</v>
      </c>
      <c r="I252" s="6">
        <v>0</v>
      </c>
      <c r="J252" s="8">
        <f t="shared" si="314"/>
        <v>38277.876000000004</v>
      </c>
      <c r="K252" s="52" t="s">
        <v>383</v>
      </c>
      <c r="L252" s="14">
        <v>29444.52</v>
      </c>
      <c r="M252" s="14">
        <v>55</v>
      </c>
      <c r="N252" s="14">
        <v>41476.5</v>
      </c>
      <c r="O252" s="7">
        <f t="shared" si="315"/>
        <v>29444.52</v>
      </c>
      <c r="P252" s="8">
        <f t="shared" si="316"/>
        <v>36805.65</v>
      </c>
      <c r="Q252" s="14">
        <v>0</v>
      </c>
      <c r="R252" s="14">
        <v>0</v>
      </c>
      <c r="S252" s="9">
        <f t="shared" si="317"/>
        <v>29444.52</v>
      </c>
      <c r="T252" s="3">
        <f>2462+H252</f>
        <v>27156.07000000001</v>
      </c>
      <c r="U252" s="14">
        <f>455*5.9*1.063+8231.35666666667*1.05</f>
        <v>11496.548000000004</v>
      </c>
      <c r="V252" s="9">
        <f t="shared" si="318"/>
        <v>29444.52</v>
      </c>
      <c r="W252" s="7">
        <f t="shared" si="348"/>
        <v>29444.52</v>
      </c>
      <c r="X252" s="14">
        <f t="shared" si="319"/>
        <v>29444.52</v>
      </c>
      <c r="Y252" s="17">
        <f>1454+H252*0.373</f>
        <v>10664.888110000004</v>
      </c>
      <c r="Z252" s="4">
        <f t="shared" si="320"/>
        <v>27972.293999999998</v>
      </c>
      <c r="AA252" s="4">
        <f t="shared" si="321"/>
        <v>27972.293999999998</v>
      </c>
      <c r="AB252" s="14">
        <v>0</v>
      </c>
      <c r="AC252" s="14">
        <v>0</v>
      </c>
      <c r="AD252" s="14">
        <f t="shared" si="322"/>
        <v>29444.52</v>
      </c>
      <c r="AE252" s="14">
        <f t="shared" si="323"/>
        <v>29444.52</v>
      </c>
      <c r="AF252" s="14">
        <v>0</v>
      </c>
      <c r="AG252" s="7">
        <f t="shared" si="324"/>
        <v>60032.09800000001</v>
      </c>
      <c r="AH252" s="12">
        <f t="shared" si="325"/>
        <v>32388.972</v>
      </c>
      <c r="AI252" s="8">
        <f t="shared" si="326"/>
        <v>29444.52</v>
      </c>
      <c r="AJ252" s="14">
        <f t="shared" si="327"/>
        <v>40044.5472</v>
      </c>
      <c r="AK252" s="14">
        <f t="shared" si="328"/>
        <v>29444.52</v>
      </c>
      <c r="AL252" s="14">
        <f t="shared" si="329"/>
        <v>29444.52</v>
      </c>
      <c r="AM252" s="7">
        <f t="shared" si="330"/>
        <v>29444.52</v>
      </c>
      <c r="AN252" s="7">
        <f t="shared" si="331"/>
        <v>29444.52</v>
      </c>
      <c r="AO252" s="7">
        <f t="shared" si="332"/>
        <v>23555.616</v>
      </c>
      <c r="AP252" s="14">
        <f t="shared" si="333"/>
        <v>29444.52</v>
      </c>
      <c r="AQ252" s="7">
        <f t="shared" si="334"/>
        <v>42880.07000000001</v>
      </c>
      <c r="AR252" s="7">
        <f t="shared" si="335"/>
        <v>137.5</v>
      </c>
      <c r="AS252" s="14">
        <f t="shared" si="336"/>
        <v>29444.52</v>
      </c>
      <c r="AT252" s="7">
        <f t="shared" si="337"/>
        <v>29444.52</v>
      </c>
      <c r="AU252" s="7">
        <f t="shared" si="338"/>
        <v>60.50000000000001</v>
      </c>
      <c r="AV252" s="14">
        <f t="shared" si="339"/>
        <v>29444.52</v>
      </c>
      <c r="AW252" s="7">
        <f t="shared" si="340"/>
        <v>27972.293999999998</v>
      </c>
      <c r="AX252" s="7">
        <f t="shared" si="341"/>
        <v>25911.1776</v>
      </c>
      <c r="AY252" s="14">
        <v>0</v>
      </c>
      <c r="AZ252" s="14">
        <v>0</v>
      </c>
      <c r="BA252" s="14">
        <v>0</v>
      </c>
      <c r="BB252" s="12">
        <f t="shared" si="308"/>
        <v>29444.52</v>
      </c>
      <c r="BC252" s="12">
        <f t="shared" si="309"/>
        <v>32388.972</v>
      </c>
      <c r="BD252" s="12">
        <f t="shared" si="310"/>
        <v>26500.068</v>
      </c>
      <c r="BE252" s="14">
        <v>0</v>
      </c>
      <c r="BF252" s="14">
        <v>0</v>
      </c>
      <c r="BG252" s="14">
        <v>0</v>
      </c>
      <c r="BH252" s="7">
        <f t="shared" si="342"/>
        <v>35333.424</v>
      </c>
      <c r="BI252" s="14">
        <f t="shared" si="343"/>
        <v>29444.52</v>
      </c>
      <c r="BJ252" s="14">
        <f t="shared" si="344"/>
        <v>27972.293999999998</v>
      </c>
      <c r="BK252" s="14">
        <f t="shared" si="345"/>
        <v>29444.52</v>
      </c>
      <c r="BL252" s="14">
        <f>10968+8231.35666666667*1.02</f>
        <v>19363.9838</v>
      </c>
      <c r="BM252" s="14">
        <f t="shared" si="346"/>
        <v>29444.52</v>
      </c>
      <c r="BN252" s="14">
        <f t="shared" si="347"/>
        <v>0</v>
      </c>
      <c r="BO252" s="14">
        <f t="shared" si="349"/>
        <v>60032.09800000001</v>
      </c>
    </row>
    <row r="253" spans="1:67" ht="19.5" customHeight="1">
      <c r="A253" s="10">
        <f t="shared" si="295"/>
        <v>252</v>
      </c>
      <c r="B253" s="6">
        <v>28297</v>
      </c>
      <c r="C253" s="11" t="s">
        <v>378</v>
      </c>
      <c r="D253" s="30" t="s">
        <v>166</v>
      </c>
      <c r="E253" s="11" t="s">
        <v>375</v>
      </c>
      <c r="F253" s="42">
        <f>6311+H253</f>
        <v>19217.45260869566</v>
      </c>
      <c r="G253" s="6">
        <v>360</v>
      </c>
      <c r="H253" s="47">
        <f>4302.15086956522*3</f>
        <v>12906.452608695661</v>
      </c>
      <c r="I253" s="6">
        <v>0</v>
      </c>
      <c r="J253" s="8">
        <f t="shared" si="314"/>
        <v>8144.435</v>
      </c>
      <c r="K253" s="52" t="s">
        <v>383</v>
      </c>
      <c r="L253" s="14">
        <v>6264.95</v>
      </c>
      <c r="M253" s="14">
        <v>70</v>
      </c>
      <c r="N253" s="17">
        <f>3341.55+4302.15086956522</f>
        <v>7643.70086956522</v>
      </c>
      <c r="O253" s="7">
        <f t="shared" si="315"/>
        <v>6264.95</v>
      </c>
      <c r="P253" s="8">
        <f t="shared" si="316"/>
        <v>7831.1875</v>
      </c>
      <c r="Q253" s="14">
        <v>0</v>
      </c>
      <c r="R253" s="14">
        <v>0</v>
      </c>
      <c r="S253" s="9">
        <f t="shared" si="317"/>
        <v>6264.95</v>
      </c>
      <c r="T253" s="3">
        <f>3030+H253</f>
        <v>15936.452608695661</v>
      </c>
      <c r="U253" s="14">
        <f>520*5.9*1.063+4302.15086956522*1.05</f>
        <v>7778.542413043481</v>
      </c>
      <c r="V253" s="9">
        <f t="shared" si="318"/>
        <v>6264.95</v>
      </c>
      <c r="W253" s="7">
        <f t="shared" si="348"/>
        <v>6264.95</v>
      </c>
      <c r="X253" s="14">
        <f t="shared" si="319"/>
        <v>6264.95</v>
      </c>
      <c r="Y253" s="14">
        <f>1820+H253*0.373</f>
        <v>6634.106823043481</v>
      </c>
      <c r="Z253" s="4">
        <f t="shared" si="320"/>
        <v>5951.702499999999</v>
      </c>
      <c r="AA253" s="4">
        <f t="shared" si="321"/>
        <v>5951.702499999999</v>
      </c>
      <c r="AB253" s="14">
        <v>0</v>
      </c>
      <c r="AC253" s="14">
        <v>0</v>
      </c>
      <c r="AD253" s="14">
        <f t="shared" si="322"/>
        <v>6264.95</v>
      </c>
      <c r="AE253" s="14">
        <f t="shared" si="323"/>
        <v>6264.95</v>
      </c>
      <c r="AF253" s="14">
        <v>0</v>
      </c>
      <c r="AG253" s="7">
        <f t="shared" si="324"/>
        <v>22486.733652173923</v>
      </c>
      <c r="AH253" s="12">
        <f t="shared" si="325"/>
        <v>6891.445000000001</v>
      </c>
      <c r="AI253" s="8">
        <f t="shared" si="326"/>
        <v>6264.95</v>
      </c>
      <c r="AJ253" s="14">
        <f t="shared" si="327"/>
        <v>8520.332</v>
      </c>
      <c r="AK253" s="14">
        <f t="shared" si="328"/>
        <v>6264.95</v>
      </c>
      <c r="AL253" s="14">
        <f t="shared" si="329"/>
        <v>6264.95</v>
      </c>
      <c r="AM253" s="7">
        <f t="shared" si="330"/>
        <v>6264.95</v>
      </c>
      <c r="AN253" s="7">
        <f t="shared" si="331"/>
        <v>6264.95</v>
      </c>
      <c r="AO253" s="7">
        <f t="shared" si="332"/>
        <v>5011.96</v>
      </c>
      <c r="AP253" s="14">
        <f t="shared" si="333"/>
        <v>6264.95</v>
      </c>
      <c r="AQ253" s="7">
        <f t="shared" si="334"/>
        <v>16061.952608695661</v>
      </c>
      <c r="AR253" s="7">
        <f t="shared" si="335"/>
        <v>175</v>
      </c>
      <c r="AS253" s="14">
        <f t="shared" si="336"/>
        <v>6264.95</v>
      </c>
      <c r="AT253" s="7">
        <f t="shared" si="337"/>
        <v>6264.95</v>
      </c>
      <c r="AU253" s="7">
        <f t="shared" si="338"/>
        <v>77</v>
      </c>
      <c r="AV253" s="14">
        <f t="shared" si="339"/>
        <v>6264.95</v>
      </c>
      <c r="AW253" s="7">
        <f t="shared" si="340"/>
        <v>5951.702499999999</v>
      </c>
      <c r="AX253" s="7">
        <f t="shared" si="341"/>
        <v>5513.156</v>
      </c>
      <c r="AY253" s="14">
        <v>0</v>
      </c>
      <c r="AZ253" s="14">
        <v>0</v>
      </c>
      <c r="BA253" s="14">
        <v>0</v>
      </c>
      <c r="BB253" s="12">
        <f t="shared" si="308"/>
        <v>6264.95</v>
      </c>
      <c r="BC253" s="12">
        <f t="shared" si="309"/>
        <v>6891.445000000001</v>
      </c>
      <c r="BD253" s="12">
        <f t="shared" si="310"/>
        <v>5638.455</v>
      </c>
      <c r="BE253" s="14">
        <v>0</v>
      </c>
      <c r="BF253" s="14">
        <v>0</v>
      </c>
      <c r="BG253" s="14">
        <v>0</v>
      </c>
      <c r="BH253" s="7">
        <f t="shared" si="342"/>
        <v>7517.94</v>
      </c>
      <c r="BI253" s="14">
        <f t="shared" si="343"/>
        <v>6264.95</v>
      </c>
      <c r="BJ253" s="14">
        <f t="shared" si="344"/>
        <v>5951.702499999999</v>
      </c>
      <c r="BK253" s="14">
        <f t="shared" si="345"/>
        <v>6264.95</v>
      </c>
      <c r="BL253" s="14">
        <f>4210+N253*1.02</f>
        <v>12006.574886956525</v>
      </c>
      <c r="BM253" s="14">
        <f t="shared" si="346"/>
        <v>6264.95</v>
      </c>
      <c r="BN253" s="14">
        <f t="shared" si="347"/>
        <v>0</v>
      </c>
      <c r="BO253" s="14">
        <f t="shared" si="349"/>
        <v>22486.733652173923</v>
      </c>
    </row>
    <row r="254" spans="1:67" ht="19.5" customHeight="1">
      <c r="A254" s="10">
        <f t="shared" si="295"/>
        <v>253</v>
      </c>
      <c r="B254" s="6">
        <v>28485</v>
      </c>
      <c r="C254" s="11" t="s">
        <v>378</v>
      </c>
      <c r="D254" s="30" t="s">
        <v>167</v>
      </c>
      <c r="E254" s="11" t="s">
        <v>375</v>
      </c>
      <c r="F254" s="42">
        <f>8710+H254</f>
        <v>15327.5125</v>
      </c>
      <c r="G254" s="6">
        <v>360</v>
      </c>
      <c r="H254" s="47">
        <f>2205.8375*3</f>
        <v>6617.512500000001</v>
      </c>
      <c r="I254" s="6">
        <v>0</v>
      </c>
      <c r="J254" s="8">
        <f t="shared" si="314"/>
        <v>8144.435</v>
      </c>
      <c r="K254" s="52" t="s">
        <v>383</v>
      </c>
      <c r="L254" s="14">
        <v>6264.95</v>
      </c>
      <c r="M254" s="14">
        <v>65</v>
      </c>
      <c r="N254" s="7">
        <f>3655.4+2205.8375</f>
        <v>5861.2375</v>
      </c>
      <c r="O254" s="7">
        <f t="shared" si="315"/>
        <v>6264.95</v>
      </c>
      <c r="P254" s="8">
        <f t="shared" si="316"/>
        <v>7831.1875</v>
      </c>
      <c r="Q254" s="14">
        <v>0</v>
      </c>
      <c r="R254" s="14">
        <v>0</v>
      </c>
      <c r="S254" s="9">
        <f t="shared" si="317"/>
        <v>6264.95</v>
      </c>
      <c r="T254" s="3">
        <f>3030+H254</f>
        <v>9647.5125</v>
      </c>
      <c r="U254" s="7">
        <f>643*5.9*1.063+2205.8375*1.05</f>
        <v>6348.832475</v>
      </c>
      <c r="V254" s="9">
        <f t="shared" si="318"/>
        <v>6264.95</v>
      </c>
      <c r="W254" s="7">
        <f t="shared" si="348"/>
        <v>6264.95</v>
      </c>
      <c r="X254" s="14">
        <f t="shared" si="319"/>
        <v>6264.95</v>
      </c>
      <c r="Y254" s="17">
        <f>2369+H254*0.373</f>
        <v>4837.332162500001</v>
      </c>
      <c r="Z254" s="4">
        <f t="shared" si="320"/>
        <v>5951.702499999999</v>
      </c>
      <c r="AA254" s="4">
        <f t="shared" si="321"/>
        <v>5951.702499999999</v>
      </c>
      <c r="AB254" s="14">
        <v>0</v>
      </c>
      <c r="AC254" s="14">
        <v>0</v>
      </c>
      <c r="AD254" s="14">
        <f t="shared" si="322"/>
        <v>6264.95</v>
      </c>
      <c r="AE254" s="14">
        <f t="shared" si="323"/>
        <v>6264.95</v>
      </c>
      <c r="AF254" s="14">
        <v>0</v>
      </c>
      <c r="AG254" s="7">
        <f t="shared" si="324"/>
        <v>15361.517499999998</v>
      </c>
      <c r="AH254" s="12">
        <f t="shared" si="325"/>
        <v>6891.445000000001</v>
      </c>
      <c r="AI254" s="8">
        <f t="shared" si="326"/>
        <v>6264.95</v>
      </c>
      <c r="AJ254" s="14">
        <f t="shared" si="327"/>
        <v>8520.332</v>
      </c>
      <c r="AK254" s="14">
        <f t="shared" si="328"/>
        <v>6264.95</v>
      </c>
      <c r="AL254" s="14">
        <f t="shared" si="329"/>
        <v>6264.95</v>
      </c>
      <c r="AM254" s="7">
        <f t="shared" si="330"/>
        <v>6264.95</v>
      </c>
      <c r="AN254" s="7">
        <f t="shared" si="331"/>
        <v>6264.95</v>
      </c>
      <c r="AO254" s="7">
        <f t="shared" si="332"/>
        <v>5011.96</v>
      </c>
      <c r="AP254" s="14">
        <f t="shared" si="333"/>
        <v>6264.95</v>
      </c>
      <c r="AQ254" s="7">
        <f t="shared" si="334"/>
        <v>10972.5125</v>
      </c>
      <c r="AR254" s="7">
        <f t="shared" si="335"/>
        <v>162.5</v>
      </c>
      <c r="AS254" s="14">
        <f t="shared" si="336"/>
        <v>6264.95</v>
      </c>
      <c r="AT254" s="7">
        <f t="shared" si="337"/>
        <v>6264.95</v>
      </c>
      <c r="AU254" s="7">
        <f t="shared" si="338"/>
        <v>71.5</v>
      </c>
      <c r="AV254" s="14">
        <f t="shared" si="339"/>
        <v>6264.95</v>
      </c>
      <c r="AW254" s="7">
        <f t="shared" si="340"/>
        <v>5951.702499999999</v>
      </c>
      <c r="AX254" s="7">
        <f t="shared" si="341"/>
        <v>5513.156</v>
      </c>
      <c r="AY254" s="14">
        <v>0</v>
      </c>
      <c r="AZ254" s="14">
        <v>0</v>
      </c>
      <c r="BA254" s="14">
        <v>0</v>
      </c>
      <c r="BB254" s="12">
        <f t="shared" si="308"/>
        <v>6264.95</v>
      </c>
      <c r="BC254" s="12">
        <f t="shared" si="309"/>
        <v>6891.445000000001</v>
      </c>
      <c r="BD254" s="12">
        <f t="shared" si="310"/>
        <v>5638.455</v>
      </c>
      <c r="BE254" s="14">
        <v>0</v>
      </c>
      <c r="BF254" s="14">
        <v>0</v>
      </c>
      <c r="BG254" s="14">
        <v>0</v>
      </c>
      <c r="BH254" s="7">
        <f t="shared" si="342"/>
        <v>7517.94</v>
      </c>
      <c r="BI254" s="14">
        <f t="shared" si="343"/>
        <v>6264.95</v>
      </c>
      <c r="BJ254" s="14">
        <f t="shared" si="344"/>
        <v>5951.702499999999</v>
      </c>
      <c r="BK254" s="14">
        <f t="shared" si="345"/>
        <v>6264.95</v>
      </c>
      <c r="BL254" s="17">
        <f>5960+2205.8375*1.02</f>
        <v>8209.95425</v>
      </c>
      <c r="BM254" s="14">
        <f t="shared" si="346"/>
        <v>6264.95</v>
      </c>
      <c r="BN254" s="14">
        <f t="shared" si="347"/>
        <v>0</v>
      </c>
      <c r="BO254" s="14">
        <f t="shared" si="349"/>
        <v>15361.517499999998</v>
      </c>
    </row>
    <row r="255" spans="1:67" ht="19.5" customHeight="1">
      <c r="A255" s="10">
        <f t="shared" si="295"/>
        <v>254</v>
      </c>
      <c r="B255" s="6">
        <v>63655</v>
      </c>
      <c r="C255" s="11" t="s">
        <v>378</v>
      </c>
      <c r="D255" s="30" t="s">
        <v>168</v>
      </c>
      <c r="E255" s="11" t="s">
        <v>375</v>
      </c>
      <c r="F255" s="42">
        <f>15672+H255</f>
        <v>81358.5221052633</v>
      </c>
      <c r="G255" s="6">
        <v>360</v>
      </c>
      <c r="H255" s="47">
        <f>21895.5073684211*3</f>
        <v>65686.5221052633</v>
      </c>
      <c r="I255" s="6">
        <v>0</v>
      </c>
      <c r="J255" s="8">
        <f t="shared" si="314"/>
        <v>26623.714</v>
      </c>
      <c r="K255" s="52" t="s">
        <v>383</v>
      </c>
      <c r="L255" s="14">
        <v>20479.78</v>
      </c>
      <c r="M255" s="14">
        <v>55</v>
      </c>
      <c r="N255" s="14">
        <f>4106.65+21895.5073684211</f>
        <v>26002.157368421096</v>
      </c>
      <c r="O255" s="7">
        <f t="shared" si="315"/>
        <v>20479.78</v>
      </c>
      <c r="P255" s="8">
        <f t="shared" si="316"/>
        <v>25599.725</v>
      </c>
      <c r="Q255" s="14">
        <v>0</v>
      </c>
      <c r="R255" s="14">
        <v>0</v>
      </c>
      <c r="S255" s="9">
        <f t="shared" si="317"/>
        <v>20479.78</v>
      </c>
      <c r="T255" s="3">
        <f>2462+16232</f>
        <v>18694</v>
      </c>
      <c r="U255" s="7">
        <f>1366*5.9*1.063+21895.5073684211*1.05</f>
        <v>31557.42493684215</v>
      </c>
      <c r="V255" s="9">
        <f t="shared" si="318"/>
        <v>20479.78</v>
      </c>
      <c r="W255" s="7">
        <f t="shared" si="348"/>
        <v>20479.78</v>
      </c>
      <c r="X255" s="14">
        <f t="shared" si="319"/>
        <v>20479.78</v>
      </c>
      <c r="Y255" s="14">
        <f>F255*0.392+H255*0.373</f>
        <v>56393.61341052642</v>
      </c>
      <c r="Z255" s="4">
        <f t="shared" si="320"/>
        <v>19455.790999999997</v>
      </c>
      <c r="AA255" s="4">
        <f t="shared" si="321"/>
        <v>19455.790999999997</v>
      </c>
      <c r="AB255" s="14">
        <v>0</v>
      </c>
      <c r="AC255" s="14">
        <v>0</v>
      </c>
      <c r="AD255" s="14">
        <f t="shared" si="322"/>
        <v>20479.78</v>
      </c>
      <c r="AE255" s="14">
        <f t="shared" si="323"/>
        <v>20479.78</v>
      </c>
      <c r="AF255" s="14">
        <v>0</v>
      </c>
      <c r="AG255" s="7">
        <f t="shared" si="324"/>
        <v>102931.53094736862</v>
      </c>
      <c r="AH255" s="12">
        <f t="shared" si="325"/>
        <v>22527.758</v>
      </c>
      <c r="AI255" s="8">
        <f t="shared" si="326"/>
        <v>20479.78</v>
      </c>
      <c r="AJ255" s="14">
        <f t="shared" si="327"/>
        <v>27852.5008</v>
      </c>
      <c r="AK255" s="14">
        <f t="shared" si="328"/>
        <v>20479.78</v>
      </c>
      <c r="AL255" s="14">
        <f t="shared" si="329"/>
        <v>20479.78</v>
      </c>
      <c r="AM255" s="7">
        <f t="shared" si="330"/>
        <v>20479.78</v>
      </c>
      <c r="AN255" s="7">
        <f t="shared" si="331"/>
        <v>20479.78</v>
      </c>
      <c r="AO255" s="7">
        <f t="shared" si="332"/>
        <v>16383.824</v>
      </c>
      <c r="AP255" s="14">
        <f t="shared" si="333"/>
        <v>20479.78</v>
      </c>
      <c r="AQ255" s="7">
        <f t="shared" si="334"/>
        <v>73522.5221052633</v>
      </c>
      <c r="AR255" s="7">
        <f t="shared" si="335"/>
        <v>137.5</v>
      </c>
      <c r="AS255" s="14">
        <f t="shared" si="336"/>
        <v>20479.78</v>
      </c>
      <c r="AT255" s="7">
        <f t="shared" si="337"/>
        <v>20479.78</v>
      </c>
      <c r="AU255" s="7">
        <f t="shared" si="338"/>
        <v>60.50000000000001</v>
      </c>
      <c r="AV255" s="14">
        <f t="shared" si="339"/>
        <v>20479.78</v>
      </c>
      <c r="AW255" s="7">
        <f t="shared" si="340"/>
        <v>19455.790999999997</v>
      </c>
      <c r="AX255" s="7">
        <f t="shared" si="341"/>
        <v>18022.2064</v>
      </c>
      <c r="AY255" s="14">
        <v>0</v>
      </c>
      <c r="AZ255" s="14">
        <v>0</v>
      </c>
      <c r="BA255" s="14">
        <v>0</v>
      </c>
      <c r="BB255" s="12">
        <f t="shared" si="308"/>
        <v>20479.78</v>
      </c>
      <c r="BC255" s="12">
        <f t="shared" si="309"/>
        <v>22527.758</v>
      </c>
      <c r="BD255" s="12">
        <f t="shared" si="310"/>
        <v>18431.802</v>
      </c>
      <c r="BE255" s="14">
        <v>0</v>
      </c>
      <c r="BF255" s="14">
        <v>0</v>
      </c>
      <c r="BG255" s="14">
        <v>0</v>
      </c>
      <c r="BH255" s="7">
        <f t="shared" si="342"/>
        <v>24575.735999999997</v>
      </c>
      <c r="BI255" s="14">
        <f t="shared" si="343"/>
        <v>20479.78</v>
      </c>
      <c r="BJ255" s="14">
        <f t="shared" si="344"/>
        <v>19455.790999999997</v>
      </c>
      <c r="BK255" s="14">
        <f t="shared" si="345"/>
        <v>20479.78</v>
      </c>
      <c r="BL255" s="14">
        <f>10830+21895.5073684211*1.02</f>
        <v>33163.41751578952</v>
      </c>
      <c r="BM255" s="14">
        <f t="shared" si="346"/>
        <v>20479.78</v>
      </c>
      <c r="BN255" s="14">
        <f t="shared" si="347"/>
        <v>0</v>
      </c>
      <c r="BO255" s="14">
        <f t="shared" si="349"/>
        <v>102931.53094736862</v>
      </c>
    </row>
    <row r="256" spans="1:67" ht="19.5" customHeight="1">
      <c r="A256" s="10">
        <f t="shared" si="295"/>
        <v>255</v>
      </c>
      <c r="B256" s="6">
        <v>45330</v>
      </c>
      <c r="C256" s="11" t="s">
        <v>378</v>
      </c>
      <c r="D256" s="29" t="s">
        <v>103</v>
      </c>
      <c r="E256" s="11" t="s">
        <v>375</v>
      </c>
      <c r="F256" s="42">
        <f>1392+H256</f>
        <v>5706</v>
      </c>
      <c r="G256" s="6">
        <v>360</v>
      </c>
      <c r="H256" s="49">
        <f>1438*3</f>
        <v>4314</v>
      </c>
      <c r="I256" s="6">
        <v>0</v>
      </c>
      <c r="J256" s="8">
        <f t="shared" si="314"/>
        <v>1031.7450000000001</v>
      </c>
      <c r="K256" s="52" t="s">
        <v>383</v>
      </c>
      <c r="L256" s="8">
        <v>793.65</v>
      </c>
      <c r="M256" s="8">
        <v>50</v>
      </c>
      <c r="N256" s="17">
        <f>1178.3+1438</f>
        <v>2616.3</v>
      </c>
      <c r="O256" s="7">
        <f t="shared" si="315"/>
        <v>793.65</v>
      </c>
      <c r="P256" s="8">
        <f t="shared" si="316"/>
        <v>992.0625</v>
      </c>
      <c r="Q256" s="14">
        <v>0</v>
      </c>
      <c r="R256" s="14">
        <v>0</v>
      </c>
      <c r="S256" s="9">
        <f t="shared" si="317"/>
        <v>793.65</v>
      </c>
      <c r="T256" s="3">
        <f>1726+H256</f>
        <v>6040</v>
      </c>
      <c r="U256" s="7">
        <f>340*5.9*1.063+1438*1.05</f>
        <v>3642.2780000000002</v>
      </c>
      <c r="V256" s="9">
        <f t="shared" si="318"/>
        <v>793.65</v>
      </c>
      <c r="W256" s="7">
        <f t="shared" si="348"/>
        <v>793.65</v>
      </c>
      <c r="X256" s="14">
        <f t="shared" si="319"/>
        <v>793.65</v>
      </c>
      <c r="Y256" s="17">
        <f>1093+H256*0.373</f>
        <v>2702.1220000000003</v>
      </c>
      <c r="Z256" s="4">
        <f t="shared" si="320"/>
        <v>753.9675</v>
      </c>
      <c r="AA256" s="4">
        <f t="shared" si="321"/>
        <v>753.9675</v>
      </c>
      <c r="AB256" s="14">
        <v>0</v>
      </c>
      <c r="AC256" s="14">
        <v>0</v>
      </c>
      <c r="AD256" s="14">
        <f t="shared" si="322"/>
        <v>793.65</v>
      </c>
      <c r="AE256" s="14">
        <f t="shared" si="323"/>
        <v>793.65</v>
      </c>
      <c r="AF256" s="14">
        <v>0</v>
      </c>
      <c r="AG256" s="7">
        <f t="shared" si="324"/>
        <v>7014</v>
      </c>
      <c r="AH256" s="12">
        <f t="shared" si="325"/>
        <v>873.0150000000001</v>
      </c>
      <c r="AI256" s="8">
        <f t="shared" si="326"/>
        <v>793.65</v>
      </c>
      <c r="AJ256" s="14">
        <f t="shared" si="327"/>
        <v>1079.364</v>
      </c>
      <c r="AK256" s="14">
        <f t="shared" si="328"/>
        <v>793.65</v>
      </c>
      <c r="AL256" s="14">
        <f t="shared" si="329"/>
        <v>793.65</v>
      </c>
      <c r="AM256" s="7">
        <f t="shared" si="330"/>
        <v>793.65</v>
      </c>
      <c r="AN256" s="7">
        <f t="shared" si="331"/>
        <v>793.65</v>
      </c>
      <c r="AO256" s="7">
        <f t="shared" si="332"/>
        <v>634.9200000000001</v>
      </c>
      <c r="AP256" s="14">
        <f t="shared" si="333"/>
        <v>793.65</v>
      </c>
      <c r="AQ256" s="7">
        <f t="shared" si="334"/>
        <v>5010</v>
      </c>
      <c r="AR256" s="7">
        <f t="shared" si="335"/>
        <v>125</v>
      </c>
      <c r="AS256" s="14">
        <f t="shared" si="336"/>
        <v>793.65</v>
      </c>
      <c r="AT256" s="7">
        <f t="shared" si="337"/>
        <v>793.65</v>
      </c>
      <c r="AU256" s="7">
        <f t="shared" si="338"/>
        <v>55.00000000000001</v>
      </c>
      <c r="AV256" s="14">
        <f t="shared" si="339"/>
        <v>793.65</v>
      </c>
      <c r="AW256" s="7">
        <f t="shared" si="340"/>
        <v>753.9675</v>
      </c>
      <c r="AX256" s="7">
        <f t="shared" si="341"/>
        <v>698.412</v>
      </c>
      <c r="AY256" s="14">
        <v>0</v>
      </c>
      <c r="AZ256" s="14">
        <v>0</v>
      </c>
      <c r="BA256" s="14">
        <v>0</v>
      </c>
      <c r="BB256" s="12">
        <f t="shared" si="308"/>
        <v>793.65</v>
      </c>
      <c r="BC256" s="12">
        <f t="shared" si="309"/>
        <v>873.0150000000001</v>
      </c>
      <c r="BD256" s="12">
        <f t="shared" si="310"/>
        <v>714.285</v>
      </c>
      <c r="BE256" s="14">
        <v>0</v>
      </c>
      <c r="BF256" s="14">
        <v>0</v>
      </c>
      <c r="BG256" s="14">
        <v>0</v>
      </c>
      <c r="BH256" s="7">
        <f t="shared" si="342"/>
        <v>952.3799999999999</v>
      </c>
      <c r="BI256" s="14">
        <f t="shared" si="343"/>
        <v>793.65</v>
      </c>
      <c r="BJ256" s="8">
        <f t="shared" si="344"/>
        <v>753.9675</v>
      </c>
      <c r="BK256" s="14">
        <f t="shared" si="345"/>
        <v>793.65</v>
      </c>
      <c r="BL256" s="17">
        <f>957+1438*1.02</f>
        <v>2423.76</v>
      </c>
      <c r="BM256" s="14">
        <f t="shared" si="346"/>
        <v>793.65</v>
      </c>
      <c r="BN256" s="8">
        <f t="shared" si="347"/>
        <v>0</v>
      </c>
      <c r="BO256" s="8">
        <f t="shared" si="349"/>
        <v>7014</v>
      </c>
    </row>
    <row r="257" spans="1:67" ht="19.5" customHeight="1">
      <c r="A257" s="10">
        <f t="shared" si="295"/>
        <v>256</v>
      </c>
      <c r="B257" s="6">
        <v>29881</v>
      </c>
      <c r="C257" s="11" t="s">
        <v>378</v>
      </c>
      <c r="D257" s="30" t="s">
        <v>169</v>
      </c>
      <c r="E257" s="11" t="s">
        <v>375</v>
      </c>
      <c r="F257" s="42">
        <f>5203+H257</f>
        <v>7549</v>
      </c>
      <c r="G257" s="6">
        <v>360</v>
      </c>
      <c r="H257" s="49">
        <f>782*3</f>
        <v>2346</v>
      </c>
      <c r="I257" s="6">
        <v>0</v>
      </c>
      <c r="J257" s="8">
        <f t="shared" si="314"/>
        <v>3679.5200000000004</v>
      </c>
      <c r="K257" s="52" t="s">
        <v>383</v>
      </c>
      <c r="L257" s="8">
        <v>2830.4</v>
      </c>
      <c r="M257" s="8">
        <v>95</v>
      </c>
      <c r="N257" s="7">
        <v>3655.4</v>
      </c>
      <c r="O257" s="7">
        <f t="shared" si="315"/>
        <v>2830.4</v>
      </c>
      <c r="P257" s="8">
        <f t="shared" si="316"/>
        <v>3538</v>
      </c>
      <c r="Q257" s="14">
        <v>0</v>
      </c>
      <c r="R257" s="14">
        <v>0</v>
      </c>
      <c r="S257" s="9">
        <f t="shared" si="317"/>
        <v>2830.4</v>
      </c>
      <c r="T257" s="4">
        <v>3241</v>
      </c>
      <c r="U257" s="7">
        <f>643*5.9*1.063</f>
        <v>4032.7031</v>
      </c>
      <c r="V257" s="9">
        <f t="shared" si="318"/>
        <v>2830.4</v>
      </c>
      <c r="W257" s="7">
        <f t="shared" si="348"/>
        <v>2830.4</v>
      </c>
      <c r="X257" s="14">
        <f t="shared" si="319"/>
        <v>2830.4</v>
      </c>
      <c r="Y257" s="17">
        <v>2369</v>
      </c>
      <c r="Z257" s="4">
        <f t="shared" si="320"/>
        <v>2688.88</v>
      </c>
      <c r="AA257" s="4">
        <f t="shared" si="321"/>
        <v>2688.88</v>
      </c>
      <c r="AB257" s="14">
        <v>0</v>
      </c>
      <c r="AC257" s="14">
        <v>0</v>
      </c>
      <c r="AD257" s="14">
        <f t="shared" si="322"/>
        <v>2830.4</v>
      </c>
      <c r="AE257" s="14">
        <f t="shared" si="323"/>
        <v>2830.4</v>
      </c>
      <c r="AF257" s="14">
        <v>0</v>
      </c>
      <c r="AG257" s="7">
        <f>F257*0.7</f>
        <v>5284.299999999999</v>
      </c>
      <c r="AH257" s="12">
        <f t="shared" si="325"/>
        <v>3113.4400000000005</v>
      </c>
      <c r="AI257" s="8">
        <f t="shared" si="326"/>
        <v>2830.4</v>
      </c>
      <c r="AJ257" s="14">
        <f t="shared" si="327"/>
        <v>3849.3440000000005</v>
      </c>
      <c r="AK257" s="14">
        <f t="shared" si="328"/>
        <v>2830.4</v>
      </c>
      <c r="AL257" s="14">
        <f t="shared" si="329"/>
        <v>2830.4</v>
      </c>
      <c r="AM257" s="7">
        <f t="shared" si="330"/>
        <v>2830.4</v>
      </c>
      <c r="AN257" s="7">
        <f t="shared" si="331"/>
        <v>2830.4</v>
      </c>
      <c r="AO257" s="7">
        <f t="shared" si="332"/>
        <v>2264.32</v>
      </c>
      <c r="AP257" s="14">
        <f t="shared" si="333"/>
        <v>2830.4</v>
      </c>
      <c r="AQ257" s="7">
        <f>F257*0.5</f>
        <v>3774.5</v>
      </c>
      <c r="AR257" s="7">
        <f t="shared" si="335"/>
        <v>237.5</v>
      </c>
      <c r="AS257" s="14">
        <f t="shared" si="336"/>
        <v>2830.4</v>
      </c>
      <c r="AT257" s="7">
        <f t="shared" si="337"/>
        <v>2830.4</v>
      </c>
      <c r="AU257" s="7">
        <f t="shared" si="338"/>
        <v>104.50000000000001</v>
      </c>
      <c r="AV257" s="14">
        <f t="shared" si="339"/>
        <v>2830.4</v>
      </c>
      <c r="AW257" s="7">
        <f t="shared" si="340"/>
        <v>2688.88</v>
      </c>
      <c r="AX257" s="7">
        <f t="shared" si="341"/>
        <v>2490.752</v>
      </c>
      <c r="AY257" s="14">
        <v>0</v>
      </c>
      <c r="AZ257" s="14">
        <v>0</v>
      </c>
      <c r="BA257" s="14">
        <v>0</v>
      </c>
      <c r="BB257" s="12">
        <f t="shared" si="308"/>
        <v>2830.4</v>
      </c>
      <c r="BC257" s="12">
        <f t="shared" si="309"/>
        <v>3113.4400000000005</v>
      </c>
      <c r="BD257" s="12">
        <f t="shared" si="310"/>
        <v>2547.36</v>
      </c>
      <c r="BE257" s="14">
        <v>0</v>
      </c>
      <c r="BF257" s="14">
        <v>0</v>
      </c>
      <c r="BG257" s="14">
        <v>0</v>
      </c>
      <c r="BH257" s="7">
        <f t="shared" si="342"/>
        <v>3396.48</v>
      </c>
      <c r="BI257" s="14">
        <f t="shared" si="343"/>
        <v>2830.4</v>
      </c>
      <c r="BJ257" s="8">
        <f t="shared" si="344"/>
        <v>2688.88</v>
      </c>
      <c r="BK257" s="14">
        <f t="shared" si="345"/>
        <v>2830.4</v>
      </c>
      <c r="BL257" s="14">
        <v>4210</v>
      </c>
      <c r="BM257" s="14">
        <f t="shared" si="346"/>
        <v>2830.4</v>
      </c>
      <c r="BN257" s="8">
        <f t="shared" si="347"/>
        <v>0</v>
      </c>
      <c r="BO257" s="8">
        <f t="shared" si="349"/>
        <v>5284.299999999999</v>
      </c>
    </row>
    <row r="258" spans="1:67" ht="19.5" customHeight="1">
      <c r="A258" s="10">
        <f t="shared" si="295"/>
        <v>257</v>
      </c>
      <c r="B258" s="6">
        <v>61885</v>
      </c>
      <c r="C258" s="11" t="s">
        <v>378</v>
      </c>
      <c r="D258" s="30" t="s">
        <v>170</v>
      </c>
      <c r="E258" s="11" t="s">
        <v>375</v>
      </c>
      <c r="F258" s="42">
        <f>36372+H258</f>
        <v>97093.873125</v>
      </c>
      <c r="G258" s="6">
        <v>360</v>
      </c>
      <c r="H258" s="47">
        <f>20240.624375*3</f>
        <v>60721.873125</v>
      </c>
      <c r="I258" s="6">
        <v>0</v>
      </c>
      <c r="J258" s="8">
        <f t="shared" si="314"/>
        <v>26623.714</v>
      </c>
      <c r="K258" s="52" t="s">
        <v>383</v>
      </c>
      <c r="L258" s="14">
        <v>20479.78</v>
      </c>
      <c r="M258" s="14">
        <v>55</v>
      </c>
      <c r="N258" s="17">
        <f>2150.55+20240.624375</f>
        <v>22391.174375</v>
      </c>
      <c r="O258" s="7">
        <f t="shared" si="315"/>
        <v>20479.78</v>
      </c>
      <c r="P258" s="8">
        <f t="shared" si="316"/>
        <v>25599.725</v>
      </c>
      <c r="Q258" s="14">
        <v>0</v>
      </c>
      <c r="R258" s="14">
        <v>0</v>
      </c>
      <c r="S258" s="9">
        <f t="shared" si="317"/>
        <v>20479.78</v>
      </c>
      <c r="T258" s="3">
        <f>2462+16232</f>
        <v>18694</v>
      </c>
      <c r="U258" s="14">
        <f>455*5.9*1.063+20240.624375*1.05</f>
        <v>24106.279093750003</v>
      </c>
      <c r="V258" s="9">
        <f t="shared" si="318"/>
        <v>20479.78</v>
      </c>
      <c r="W258" s="7">
        <f t="shared" si="348"/>
        <v>20479.78</v>
      </c>
      <c r="X258" s="14">
        <f t="shared" si="319"/>
        <v>20479.78</v>
      </c>
      <c r="Y258" s="17">
        <f>1454+H258*0.373</f>
        <v>24103.258675625</v>
      </c>
      <c r="Z258" s="4">
        <f t="shared" si="320"/>
        <v>19455.790999999997</v>
      </c>
      <c r="AA258" s="4">
        <f t="shared" si="321"/>
        <v>19455.790999999997</v>
      </c>
      <c r="AB258" s="14">
        <v>0</v>
      </c>
      <c r="AC258" s="14">
        <v>0</v>
      </c>
      <c r="AD258" s="14">
        <f t="shared" si="322"/>
        <v>20479.78</v>
      </c>
      <c r="AE258" s="14">
        <f t="shared" si="323"/>
        <v>20479.78</v>
      </c>
      <c r="AF258" s="14">
        <v>0</v>
      </c>
      <c r="AG258" s="7">
        <f aca="true" t="shared" si="350" ref="AG258:AG263">F258*0.7+H258*0.7</f>
        <v>110471.022375</v>
      </c>
      <c r="AH258" s="12">
        <f t="shared" si="325"/>
        <v>22527.758</v>
      </c>
      <c r="AI258" s="8">
        <f t="shared" si="326"/>
        <v>20479.78</v>
      </c>
      <c r="AJ258" s="14">
        <f t="shared" si="327"/>
        <v>27852.5008</v>
      </c>
      <c r="AK258" s="14">
        <f t="shared" si="328"/>
        <v>20479.78</v>
      </c>
      <c r="AL258" s="14">
        <f t="shared" si="329"/>
        <v>20479.78</v>
      </c>
      <c r="AM258" s="7">
        <f t="shared" si="330"/>
        <v>20479.78</v>
      </c>
      <c r="AN258" s="7">
        <f t="shared" si="331"/>
        <v>20479.78</v>
      </c>
      <c r="AO258" s="7">
        <f t="shared" si="332"/>
        <v>16383.824</v>
      </c>
      <c r="AP258" s="14">
        <f t="shared" si="333"/>
        <v>20479.78</v>
      </c>
      <c r="AQ258" s="7">
        <f aca="true" t="shared" si="351" ref="AQ258:AQ263">F258*0.5+H258*0.5</f>
        <v>78907.873125</v>
      </c>
      <c r="AR258" s="7">
        <f t="shared" si="335"/>
        <v>137.5</v>
      </c>
      <c r="AS258" s="14">
        <f t="shared" si="336"/>
        <v>20479.78</v>
      </c>
      <c r="AT258" s="7">
        <f t="shared" si="337"/>
        <v>20479.78</v>
      </c>
      <c r="AU258" s="7">
        <f t="shared" si="338"/>
        <v>60.50000000000001</v>
      </c>
      <c r="AV258" s="14">
        <f t="shared" si="339"/>
        <v>20479.78</v>
      </c>
      <c r="AW258" s="7">
        <f t="shared" si="340"/>
        <v>19455.790999999997</v>
      </c>
      <c r="AX258" s="7">
        <f t="shared" si="341"/>
        <v>18022.2064</v>
      </c>
      <c r="AY258" s="14">
        <v>0</v>
      </c>
      <c r="AZ258" s="14">
        <v>0</v>
      </c>
      <c r="BA258" s="14">
        <v>0</v>
      </c>
      <c r="BB258" s="12">
        <f t="shared" si="308"/>
        <v>20479.78</v>
      </c>
      <c r="BC258" s="12">
        <f t="shared" si="309"/>
        <v>22527.758</v>
      </c>
      <c r="BD258" s="12">
        <f t="shared" si="310"/>
        <v>18431.802</v>
      </c>
      <c r="BE258" s="14">
        <v>0</v>
      </c>
      <c r="BF258" s="14">
        <v>0</v>
      </c>
      <c r="BG258" s="14">
        <v>0</v>
      </c>
      <c r="BH258" s="7">
        <f t="shared" si="342"/>
        <v>24575.735999999997</v>
      </c>
      <c r="BI258" s="14">
        <f t="shared" si="343"/>
        <v>20479.78</v>
      </c>
      <c r="BJ258" s="14">
        <f t="shared" si="344"/>
        <v>19455.790999999997</v>
      </c>
      <c r="BK258" s="14">
        <f t="shared" si="345"/>
        <v>20479.78</v>
      </c>
      <c r="BL258" s="14">
        <f>10968+20240.624375*1.02</f>
        <v>31613.4368625</v>
      </c>
      <c r="BM258" s="14">
        <f t="shared" si="346"/>
        <v>20479.78</v>
      </c>
      <c r="BN258" s="14">
        <f t="shared" si="347"/>
        <v>0</v>
      </c>
      <c r="BO258" s="14">
        <f t="shared" si="349"/>
        <v>110471.022375</v>
      </c>
    </row>
    <row r="259" spans="1:67" ht="19.5" customHeight="1">
      <c r="A259" s="10">
        <f t="shared" si="295"/>
        <v>258</v>
      </c>
      <c r="B259" s="6">
        <v>22514</v>
      </c>
      <c r="C259" s="11" t="s">
        <v>378</v>
      </c>
      <c r="D259" s="30" t="s">
        <v>172</v>
      </c>
      <c r="E259" s="11" t="s">
        <v>375</v>
      </c>
      <c r="F259" s="42">
        <f>21195+H259</f>
        <v>36283.44333333333</v>
      </c>
      <c r="G259" s="6">
        <v>360</v>
      </c>
      <c r="H259" s="47">
        <f>5029.48111111111*3</f>
        <v>15088.44333333333</v>
      </c>
      <c r="I259" s="6">
        <v>0</v>
      </c>
      <c r="J259" s="8">
        <f t="shared" si="314"/>
        <v>8144.435</v>
      </c>
      <c r="K259" s="52" t="s">
        <v>383</v>
      </c>
      <c r="L259" s="14">
        <v>6264.95</v>
      </c>
      <c r="M259" s="14">
        <v>55</v>
      </c>
      <c r="N259" s="14">
        <f>3907+5029.48111111111</f>
        <v>8936.48111111111</v>
      </c>
      <c r="O259" s="7">
        <f t="shared" si="315"/>
        <v>6264.95</v>
      </c>
      <c r="P259" s="8">
        <f t="shared" si="316"/>
        <v>7831.1875</v>
      </c>
      <c r="Q259" s="14">
        <v>0</v>
      </c>
      <c r="R259" s="14">
        <v>0</v>
      </c>
      <c r="S259" s="9">
        <f t="shared" si="317"/>
        <v>6264.95</v>
      </c>
      <c r="T259" s="3">
        <f>2462+H259</f>
        <v>17550.44333333333</v>
      </c>
      <c r="U259" s="7">
        <f>731*5.9*1.063+5029.48111111111*1.05</f>
        <v>9865.567866666666</v>
      </c>
      <c r="V259" s="9">
        <f t="shared" si="318"/>
        <v>6264.95</v>
      </c>
      <c r="W259" s="7">
        <f t="shared" si="348"/>
        <v>6264.95</v>
      </c>
      <c r="X259" s="14">
        <f t="shared" si="319"/>
        <v>6264.95</v>
      </c>
      <c r="Y259" s="14">
        <f>F259*0.392+H259*0.373</f>
        <v>19851.09915</v>
      </c>
      <c r="Z259" s="4">
        <f t="shared" si="320"/>
        <v>5951.702499999999</v>
      </c>
      <c r="AA259" s="4">
        <f t="shared" si="321"/>
        <v>5951.702499999999</v>
      </c>
      <c r="AB259" s="14">
        <v>0</v>
      </c>
      <c r="AC259" s="14">
        <v>0</v>
      </c>
      <c r="AD259" s="14">
        <f t="shared" si="322"/>
        <v>6264.95</v>
      </c>
      <c r="AE259" s="14">
        <f t="shared" si="323"/>
        <v>6264.95</v>
      </c>
      <c r="AF259" s="14">
        <v>0</v>
      </c>
      <c r="AG259" s="7">
        <f t="shared" si="350"/>
        <v>35960.32066666666</v>
      </c>
      <c r="AH259" s="12">
        <f t="shared" si="325"/>
        <v>6891.445000000001</v>
      </c>
      <c r="AI259" s="8">
        <f t="shared" si="326"/>
        <v>6264.95</v>
      </c>
      <c r="AJ259" s="14">
        <f t="shared" si="327"/>
        <v>8520.332</v>
      </c>
      <c r="AK259" s="14">
        <f t="shared" si="328"/>
        <v>6264.95</v>
      </c>
      <c r="AL259" s="14">
        <f t="shared" si="329"/>
        <v>6264.95</v>
      </c>
      <c r="AM259" s="7">
        <f t="shared" si="330"/>
        <v>6264.95</v>
      </c>
      <c r="AN259" s="7">
        <f t="shared" si="331"/>
        <v>6264.95</v>
      </c>
      <c r="AO259" s="7">
        <f t="shared" si="332"/>
        <v>5011.96</v>
      </c>
      <c r="AP259" s="14">
        <f t="shared" si="333"/>
        <v>6264.95</v>
      </c>
      <c r="AQ259" s="7">
        <f t="shared" si="351"/>
        <v>25685.94333333333</v>
      </c>
      <c r="AR259" s="7">
        <f t="shared" si="335"/>
        <v>137.5</v>
      </c>
      <c r="AS259" s="14">
        <f t="shared" si="336"/>
        <v>6264.95</v>
      </c>
      <c r="AT259" s="7">
        <f t="shared" si="337"/>
        <v>6264.95</v>
      </c>
      <c r="AU259" s="7">
        <f t="shared" si="338"/>
        <v>60.50000000000001</v>
      </c>
      <c r="AV259" s="14">
        <f t="shared" si="339"/>
        <v>6264.95</v>
      </c>
      <c r="AW259" s="7">
        <f t="shared" si="340"/>
        <v>5951.702499999999</v>
      </c>
      <c r="AX259" s="7">
        <f t="shared" si="341"/>
        <v>5513.156</v>
      </c>
      <c r="AY259" s="14">
        <v>0</v>
      </c>
      <c r="AZ259" s="14">
        <v>0</v>
      </c>
      <c r="BA259" s="14">
        <v>0</v>
      </c>
      <c r="BB259" s="12">
        <f t="shared" si="308"/>
        <v>6264.95</v>
      </c>
      <c r="BC259" s="12">
        <f t="shared" si="309"/>
        <v>6891.445000000001</v>
      </c>
      <c r="BD259" s="12">
        <f t="shared" si="310"/>
        <v>5638.455</v>
      </c>
      <c r="BE259" s="14">
        <v>0</v>
      </c>
      <c r="BF259" s="14">
        <v>0</v>
      </c>
      <c r="BG259" s="14">
        <v>0</v>
      </c>
      <c r="BH259" s="7">
        <f t="shared" si="342"/>
        <v>7517.94</v>
      </c>
      <c r="BI259" s="14">
        <f t="shared" si="343"/>
        <v>6264.95</v>
      </c>
      <c r="BJ259" s="14">
        <f t="shared" si="344"/>
        <v>5951.702499999999</v>
      </c>
      <c r="BK259" s="14">
        <f t="shared" si="345"/>
        <v>6264.95</v>
      </c>
      <c r="BL259" s="17">
        <f>5960+5029.48111111111*1.02</f>
        <v>11090.070733333334</v>
      </c>
      <c r="BM259" s="14">
        <f t="shared" si="346"/>
        <v>6264.95</v>
      </c>
      <c r="BN259" s="14">
        <f t="shared" si="347"/>
        <v>0</v>
      </c>
      <c r="BO259" s="14">
        <f t="shared" si="349"/>
        <v>35960.32066666666</v>
      </c>
    </row>
    <row r="260" spans="1:68" ht="19.5" customHeight="1">
      <c r="A260" s="10">
        <f t="shared" si="295"/>
        <v>259</v>
      </c>
      <c r="B260" s="6">
        <v>27698</v>
      </c>
      <c r="C260" s="11" t="s">
        <v>378</v>
      </c>
      <c r="D260" s="30" t="s">
        <v>173</v>
      </c>
      <c r="E260" s="11" t="s">
        <v>375</v>
      </c>
      <c r="F260" s="42">
        <f>6216+H260</f>
        <v>14717.82428571429</v>
      </c>
      <c r="G260" s="6">
        <v>360</v>
      </c>
      <c r="H260" s="47">
        <f>2833.94142857143*3</f>
        <v>8501.82428571429</v>
      </c>
      <c r="I260" s="6">
        <v>0</v>
      </c>
      <c r="J260" s="8">
        <f t="shared" si="314"/>
        <v>8144.435</v>
      </c>
      <c r="K260" s="52" t="s">
        <v>383</v>
      </c>
      <c r="L260" s="14">
        <v>6264.95</v>
      </c>
      <c r="M260" s="14">
        <v>85</v>
      </c>
      <c r="N260" s="17">
        <f>2150.55+2833.94142857143</f>
        <v>4984.49142857143</v>
      </c>
      <c r="O260" s="7">
        <f t="shared" si="315"/>
        <v>6264.95</v>
      </c>
      <c r="P260" s="8">
        <f t="shared" si="316"/>
        <v>7831.1875</v>
      </c>
      <c r="Q260" s="14">
        <v>0</v>
      </c>
      <c r="R260" s="14">
        <v>0</v>
      </c>
      <c r="S260" s="9">
        <f t="shared" si="317"/>
        <v>6264.95</v>
      </c>
      <c r="T260" s="3">
        <f>2462+H260</f>
        <v>10963.82428571429</v>
      </c>
      <c r="U260" s="14">
        <f>455*5.9*1.063+2833.94142857143*1.05</f>
        <v>5829.2620000000015</v>
      </c>
      <c r="V260" s="9">
        <f t="shared" si="318"/>
        <v>6264.95</v>
      </c>
      <c r="W260" s="7">
        <f t="shared" si="348"/>
        <v>6264.95</v>
      </c>
      <c r="X260" s="14">
        <f t="shared" si="319"/>
        <v>6264.95</v>
      </c>
      <c r="Y260" s="17">
        <f>1454+H260*0.373</f>
        <v>4625.180458571431</v>
      </c>
      <c r="Z260" s="4">
        <f t="shared" si="320"/>
        <v>5951.702499999999</v>
      </c>
      <c r="AA260" s="4">
        <f t="shared" si="321"/>
        <v>5951.702499999999</v>
      </c>
      <c r="AB260" s="14">
        <v>0</v>
      </c>
      <c r="AC260" s="14">
        <v>0</v>
      </c>
      <c r="AD260" s="14">
        <f t="shared" si="322"/>
        <v>6264.95</v>
      </c>
      <c r="AE260" s="14">
        <f t="shared" si="323"/>
        <v>6264.95</v>
      </c>
      <c r="AF260" s="14">
        <v>0</v>
      </c>
      <c r="AG260" s="7">
        <f t="shared" si="350"/>
        <v>16253.754000000004</v>
      </c>
      <c r="AH260" s="12">
        <f t="shared" si="325"/>
        <v>6891.445000000001</v>
      </c>
      <c r="AI260" s="8">
        <f t="shared" si="326"/>
        <v>6264.95</v>
      </c>
      <c r="AJ260" s="14">
        <f t="shared" si="327"/>
        <v>8520.332</v>
      </c>
      <c r="AK260" s="14">
        <f t="shared" si="328"/>
        <v>6264.95</v>
      </c>
      <c r="AL260" s="14">
        <f t="shared" si="329"/>
        <v>6264.95</v>
      </c>
      <c r="AM260" s="7">
        <f t="shared" si="330"/>
        <v>6264.95</v>
      </c>
      <c r="AN260" s="7">
        <f t="shared" si="331"/>
        <v>6264.95</v>
      </c>
      <c r="AO260" s="7">
        <f t="shared" si="332"/>
        <v>5011.96</v>
      </c>
      <c r="AP260" s="14">
        <f t="shared" si="333"/>
        <v>6264.95</v>
      </c>
      <c r="AQ260" s="7">
        <f t="shared" si="351"/>
        <v>11609.82428571429</v>
      </c>
      <c r="AR260" s="7">
        <f t="shared" si="335"/>
        <v>212.5</v>
      </c>
      <c r="AS260" s="14">
        <f t="shared" si="336"/>
        <v>6264.95</v>
      </c>
      <c r="AT260" s="7">
        <f t="shared" si="337"/>
        <v>6264.95</v>
      </c>
      <c r="AU260" s="7">
        <f t="shared" si="338"/>
        <v>93.50000000000001</v>
      </c>
      <c r="AV260" s="14">
        <f t="shared" si="339"/>
        <v>6264.95</v>
      </c>
      <c r="AW260" s="7">
        <f t="shared" si="340"/>
        <v>5951.702499999999</v>
      </c>
      <c r="AX260" s="7">
        <f t="shared" si="341"/>
        <v>5513.156</v>
      </c>
      <c r="AY260" s="14">
        <v>0</v>
      </c>
      <c r="AZ260" s="14">
        <v>0</v>
      </c>
      <c r="BA260" s="14">
        <v>0</v>
      </c>
      <c r="BB260" s="12">
        <f t="shared" si="308"/>
        <v>6264.95</v>
      </c>
      <c r="BC260" s="12">
        <f t="shared" si="309"/>
        <v>6891.445000000001</v>
      </c>
      <c r="BD260" s="12">
        <f t="shared" si="310"/>
        <v>5638.455</v>
      </c>
      <c r="BE260" s="14">
        <v>0</v>
      </c>
      <c r="BF260" s="14">
        <v>0</v>
      </c>
      <c r="BG260" s="14">
        <v>0</v>
      </c>
      <c r="BH260" s="7">
        <f t="shared" si="342"/>
        <v>7517.94</v>
      </c>
      <c r="BI260" s="14">
        <f t="shared" si="343"/>
        <v>6264.95</v>
      </c>
      <c r="BJ260" s="14">
        <f t="shared" si="344"/>
        <v>5951.702499999999</v>
      </c>
      <c r="BK260" s="14">
        <f t="shared" si="345"/>
        <v>6264.95</v>
      </c>
      <c r="BL260" s="14">
        <f>4210+2833.94142857143*1.02</f>
        <v>7100.6202571428585</v>
      </c>
      <c r="BM260" s="14">
        <f t="shared" si="346"/>
        <v>6264.95</v>
      </c>
      <c r="BN260" s="14">
        <f t="shared" si="347"/>
        <v>0</v>
      </c>
      <c r="BO260" s="14">
        <f t="shared" si="349"/>
        <v>16253.754000000004</v>
      </c>
      <c r="BP260" s="3"/>
    </row>
    <row r="261" spans="1:67" ht="19.5" customHeight="1">
      <c r="A261" s="10">
        <f t="shared" si="295"/>
        <v>260</v>
      </c>
      <c r="B261" s="6" t="s">
        <v>14</v>
      </c>
      <c r="C261" s="11" t="s">
        <v>378</v>
      </c>
      <c r="D261" s="30" t="s">
        <v>193</v>
      </c>
      <c r="E261" s="11" t="s">
        <v>375</v>
      </c>
      <c r="F261" s="42">
        <f>830+H261</f>
        <v>8365.349999999991</v>
      </c>
      <c r="G261" s="6">
        <v>360</v>
      </c>
      <c r="H261" s="51">
        <f>2511.78333333333*3</f>
        <v>7535.34999999999</v>
      </c>
      <c r="I261" s="6">
        <v>0</v>
      </c>
      <c r="J261" s="8">
        <f t="shared" si="314"/>
        <v>449.592</v>
      </c>
      <c r="K261" s="52" t="s">
        <v>383</v>
      </c>
      <c r="L261" s="1">
        <v>345.84</v>
      </c>
      <c r="M261" s="1">
        <v>20</v>
      </c>
      <c r="N261" s="17">
        <f>2150.55+2511.78333333333</f>
        <v>4662.33333333333</v>
      </c>
      <c r="O261" s="8">
        <f t="shared" si="315"/>
        <v>345.84</v>
      </c>
      <c r="P261" s="8">
        <f t="shared" si="316"/>
        <v>432.29999999999995</v>
      </c>
      <c r="Q261" s="14">
        <v>0</v>
      </c>
      <c r="R261" s="14">
        <v>0</v>
      </c>
      <c r="S261" s="9">
        <f t="shared" si="317"/>
        <v>345.84</v>
      </c>
      <c r="T261" s="21">
        <f>2462+H261</f>
        <v>9997.349999999991</v>
      </c>
      <c r="U261" s="8">
        <f>455*5.9*1.063+2511.78333333333*1.05</f>
        <v>5490.9959999999965</v>
      </c>
      <c r="V261" s="9">
        <f t="shared" si="318"/>
        <v>345.84</v>
      </c>
      <c r="W261" s="7">
        <f t="shared" si="348"/>
        <v>345.84</v>
      </c>
      <c r="X261" s="14">
        <f t="shared" si="319"/>
        <v>345.84</v>
      </c>
      <c r="Y261" s="17">
        <f>1454+H261*0.373</f>
        <v>4264.6855499999965</v>
      </c>
      <c r="Z261" s="4">
        <f t="shared" si="320"/>
        <v>328.54799999999994</v>
      </c>
      <c r="AA261" s="4">
        <f t="shared" si="321"/>
        <v>328.54799999999994</v>
      </c>
      <c r="AB261" s="14">
        <v>0</v>
      </c>
      <c r="AC261" s="14">
        <v>0</v>
      </c>
      <c r="AD261" s="14">
        <f t="shared" si="322"/>
        <v>345.84</v>
      </c>
      <c r="AE261" s="14">
        <f t="shared" si="323"/>
        <v>345.84</v>
      </c>
      <c r="AF261" s="14">
        <v>0</v>
      </c>
      <c r="AG261" s="3">
        <f t="shared" si="350"/>
        <v>11130.489999999987</v>
      </c>
      <c r="AH261" s="12">
        <f t="shared" si="325"/>
        <v>380.424</v>
      </c>
      <c r="AI261" s="8">
        <f t="shared" si="326"/>
        <v>345.84</v>
      </c>
      <c r="AJ261" s="14">
        <f t="shared" si="327"/>
        <v>470.3424</v>
      </c>
      <c r="AK261" s="14">
        <f t="shared" si="328"/>
        <v>345.84</v>
      </c>
      <c r="AL261" s="14">
        <f t="shared" si="329"/>
        <v>345.84</v>
      </c>
      <c r="AM261" s="7">
        <f t="shared" si="330"/>
        <v>345.84</v>
      </c>
      <c r="AN261" s="7">
        <f t="shared" si="331"/>
        <v>345.84</v>
      </c>
      <c r="AO261" s="7">
        <f t="shared" si="332"/>
        <v>276.67199999999997</v>
      </c>
      <c r="AP261" s="14">
        <f t="shared" si="333"/>
        <v>345.84</v>
      </c>
      <c r="AQ261" s="3">
        <f t="shared" si="351"/>
        <v>7950.349999999991</v>
      </c>
      <c r="AR261" s="7">
        <f t="shared" si="335"/>
        <v>50</v>
      </c>
      <c r="AS261" s="14">
        <f t="shared" si="336"/>
        <v>345.84</v>
      </c>
      <c r="AT261" s="7">
        <f t="shared" si="337"/>
        <v>345.84</v>
      </c>
      <c r="AU261" s="7">
        <f t="shared" si="338"/>
        <v>22</v>
      </c>
      <c r="AV261" s="14">
        <f t="shared" si="339"/>
        <v>345.84</v>
      </c>
      <c r="AW261" s="7">
        <f t="shared" si="340"/>
        <v>328.54799999999994</v>
      </c>
      <c r="AX261" s="7">
        <f t="shared" si="341"/>
        <v>304.3392</v>
      </c>
      <c r="AY261" s="14">
        <v>0</v>
      </c>
      <c r="AZ261" s="14">
        <v>0</v>
      </c>
      <c r="BA261" s="14">
        <v>0</v>
      </c>
      <c r="BB261" s="12">
        <f t="shared" si="308"/>
        <v>345.84</v>
      </c>
      <c r="BC261" s="12">
        <f t="shared" si="309"/>
        <v>380.424</v>
      </c>
      <c r="BD261" s="12">
        <f t="shared" si="310"/>
        <v>311.256</v>
      </c>
      <c r="BE261" s="14">
        <v>0</v>
      </c>
      <c r="BF261" s="14">
        <v>0</v>
      </c>
      <c r="BG261" s="14">
        <v>0</v>
      </c>
      <c r="BH261" s="7">
        <f t="shared" si="342"/>
        <v>415.008</v>
      </c>
      <c r="BI261" s="14">
        <f t="shared" si="343"/>
        <v>345.84</v>
      </c>
      <c r="BJ261" s="8">
        <f t="shared" si="344"/>
        <v>328.54799999999994</v>
      </c>
      <c r="BK261" s="14">
        <f t="shared" si="345"/>
        <v>345.84</v>
      </c>
      <c r="BL261" s="17">
        <f>381+2511.78333333333*1.02</f>
        <v>2943.0189999999966</v>
      </c>
      <c r="BM261" s="14">
        <f t="shared" si="346"/>
        <v>345.84</v>
      </c>
      <c r="BN261" s="8">
        <f t="shared" si="347"/>
        <v>0</v>
      </c>
      <c r="BO261" s="8">
        <f t="shared" si="349"/>
        <v>11130.489999999987</v>
      </c>
    </row>
    <row r="262" spans="1:67" ht="19.5" customHeight="1">
      <c r="A262" s="10">
        <f t="shared" si="295"/>
        <v>261</v>
      </c>
      <c r="B262" s="6" t="s">
        <v>42</v>
      </c>
      <c r="C262" s="11" t="s">
        <v>378</v>
      </c>
      <c r="D262" s="29" t="s">
        <v>277</v>
      </c>
      <c r="E262" s="11" t="s">
        <v>375</v>
      </c>
      <c r="F262" s="42">
        <f>3308+H262</f>
        <v>16141.130000000001</v>
      </c>
      <c r="G262" s="6">
        <v>360</v>
      </c>
      <c r="H262" s="51">
        <f>4277.71*3</f>
        <v>12833.130000000001</v>
      </c>
      <c r="I262" s="6">
        <v>0</v>
      </c>
      <c r="J262" s="8">
        <f t="shared" si="314"/>
        <v>2229.968</v>
      </c>
      <c r="K262" s="52" t="s">
        <v>383</v>
      </c>
      <c r="L262" s="2">
        <v>1715.36</v>
      </c>
      <c r="M262" s="3">
        <v>50</v>
      </c>
      <c r="N262" s="17">
        <f>2150.55+4277.71</f>
        <v>6428.26</v>
      </c>
      <c r="O262" s="8">
        <f t="shared" si="315"/>
        <v>1715.36</v>
      </c>
      <c r="P262" s="8">
        <f t="shared" si="316"/>
        <v>2144.2</v>
      </c>
      <c r="Q262" s="14">
        <v>0</v>
      </c>
      <c r="R262" s="14">
        <v>0</v>
      </c>
      <c r="S262" s="9">
        <f t="shared" si="317"/>
        <v>1715.36</v>
      </c>
      <c r="T262" s="21">
        <f>1726+H262</f>
        <v>14559.130000000001</v>
      </c>
      <c r="U262" s="8">
        <f>455*5.9*1.063+4277.71*1.05</f>
        <v>7345.219</v>
      </c>
      <c r="V262" s="9">
        <f t="shared" si="318"/>
        <v>1715.36</v>
      </c>
      <c r="W262" s="7">
        <f t="shared" si="348"/>
        <v>1715.36</v>
      </c>
      <c r="X262" s="14">
        <f t="shared" si="319"/>
        <v>1715.36</v>
      </c>
      <c r="Y262" s="17">
        <f>1093+H262*0.373</f>
        <v>5879.75749</v>
      </c>
      <c r="Z262" s="4">
        <f t="shared" si="320"/>
        <v>1629.5919999999999</v>
      </c>
      <c r="AA262" s="4">
        <f t="shared" si="321"/>
        <v>1629.5919999999999</v>
      </c>
      <c r="AB262" s="14">
        <v>0</v>
      </c>
      <c r="AC262" s="14">
        <v>0</v>
      </c>
      <c r="AD262" s="14">
        <f t="shared" si="322"/>
        <v>1715.36</v>
      </c>
      <c r="AE262" s="14">
        <f t="shared" si="323"/>
        <v>1715.36</v>
      </c>
      <c r="AF262" s="14">
        <v>0</v>
      </c>
      <c r="AG262" s="3">
        <f t="shared" si="350"/>
        <v>20281.982</v>
      </c>
      <c r="AH262" s="12">
        <f t="shared" si="325"/>
        <v>1886.896</v>
      </c>
      <c r="AI262" s="8">
        <f t="shared" si="326"/>
        <v>1715.36</v>
      </c>
      <c r="AJ262" s="14">
        <f t="shared" si="327"/>
        <v>2332.8896</v>
      </c>
      <c r="AK262" s="14">
        <f t="shared" si="328"/>
        <v>1715.36</v>
      </c>
      <c r="AL262" s="14">
        <f t="shared" si="329"/>
        <v>1715.36</v>
      </c>
      <c r="AM262" s="7">
        <f t="shared" si="330"/>
        <v>1715.36</v>
      </c>
      <c r="AN262" s="7">
        <f t="shared" si="331"/>
        <v>1715.36</v>
      </c>
      <c r="AO262" s="7">
        <f t="shared" si="332"/>
        <v>1372.288</v>
      </c>
      <c r="AP262" s="14">
        <f t="shared" si="333"/>
        <v>1715.36</v>
      </c>
      <c r="AQ262" s="3">
        <f t="shared" si="351"/>
        <v>14487.130000000001</v>
      </c>
      <c r="AR262" s="7">
        <f t="shared" si="335"/>
        <v>125</v>
      </c>
      <c r="AS262" s="14">
        <f t="shared" si="336"/>
        <v>1715.36</v>
      </c>
      <c r="AT262" s="7">
        <f t="shared" si="337"/>
        <v>1715.36</v>
      </c>
      <c r="AU262" s="7">
        <f t="shared" si="338"/>
        <v>55.00000000000001</v>
      </c>
      <c r="AV262" s="14">
        <f t="shared" si="339"/>
        <v>1715.36</v>
      </c>
      <c r="AW262" s="7">
        <f t="shared" si="340"/>
        <v>1629.5919999999999</v>
      </c>
      <c r="AX262" s="7">
        <f t="shared" si="341"/>
        <v>1509.5167999999999</v>
      </c>
      <c r="AY262" s="14">
        <v>0</v>
      </c>
      <c r="AZ262" s="14">
        <v>0</v>
      </c>
      <c r="BA262" s="14">
        <v>0</v>
      </c>
      <c r="BB262" s="12">
        <f t="shared" si="308"/>
        <v>1715.36</v>
      </c>
      <c r="BC262" s="12">
        <f t="shared" si="309"/>
        <v>1886.896</v>
      </c>
      <c r="BD262" s="12">
        <f t="shared" si="310"/>
        <v>1543.8239999999998</v>
      </c>
      <c r="BE262" s="14">
        <v>0</v>
      </c>
      <c r="BF262" s="14">
        <v>0</v>
      </c>
      <c r="BG262" s="14">
        <v>0</v>
      </c>
      <c r="BH262" s="7">
        <f t="shared" si="342"/>
        <v>2058.432</v>
      </c>
      <c r="BI262" s="14">
        <f t="shared" si="343"/>
        <v>1715.36</v>
      </c>
      <c r="BJ262" s="8">
        <f t="shared" si="344"/>
        <v>1629.5919999999999</v>
      </c>
      <c r="BK262" s="14">
        <f t="shared" si="345"/>
        <v>1715.36</v>
      </c>
      <c r="BL262" s="17">
        <f>957+4277.71*1.02</f>
        <v>5320.2642000000005</v>
      </c>
      <c r="BM262" s="14">
        <f t="shared" si="346"/>
        <v>1715.36</v>
      </c>
      <c r="BN262" s="8">
        <f t="shared" si="347"/>
        <v>0</v>
      </c>
      <c r="BO262" s="8">
        <f t="shared" si="349"/>
        <v>20281.982</v>
      </c>
    </row>
    <row r="263" spans="1:67" ht="19.5" customHeight="1">
      <c r="A263" s="10">
        <f t="shared" si="295"/>
        <v>262</v>
      </c>
      <c r="B263" s="6">
        <v>29806</v>
      </c>
      <c r="C263" s="11" t="s">
        <v>378</v>
      </c>
      <c r="D263" s="29" t="s">
        <v>326</v>
      </c>
      <c r="E263" s="11" t="s">
        <v>375</v>
      </c>
      <c r="F263" s="42">
        <f>8994+H263</f>
        <v>19724.42000000001</v>
      </c>
      <c r="G263" s="6">
        <v>360</v>
      </c>
      <c r="H263" s="50">
        <f>3576.80666666667*3</f>
        <v>10730.42000000001</v>
      </c>
      <c r="I263" s="6">
        <v>0</v>
      </c>
      <c r="J263" s="8">
        <f t="shared" si="314"/>
        <v>8144.435</v>
      </c>
      <c r="K263" s="52" t="s">
        <v>383</v>
      </c>
      <c r="L263" s="1">
        <v>6264.95</v>
      </c>
      <c r="M263" s="3">
        <v>31</v>
      </c>
      <c r="N263" s="15">
        <f>3341.55+3576.80666666667</f>
        <v>6918.35666666667</v>
      </c>
      <c r="O263" s="7">
        <f t="shared" si="315"/>
        <v>6264.95</v>
      </c>
      <c r="P263" s="8">
        <f t="shared" si="316"/>
        <v>7831.1875</v>
      </c>
      <c r="Q263" s="14">
        <v>0</v>
      </c>
      <c r="R263" s="14">
        <v>0</v>
      </c>
      <c r="S263" s="9">
        <f t="shared" si="317"/>
        <v>6264.95</v>
      </c>
      <c r="T263" s="21">
        <f>3436+H263</f>
        <v>14166.42000000001</v>
      </c>
      <c r="U263" s="14">
        <f>520*5.9*1.063+3576.80666666667*1.05</f>
        <v>7016.931000000003</v>
      </c>
      <c r="V263" s="9">
        <f t="shared" si="318"/>
        <v>6264.95</v>
      </c>
      <c r="W263" s="7">
        <f t="shared" si="348"/>
        <v>6264.95</v>
      </c>
      <c r="X263" s="14">
        <f t="shared" si="319"/>
        <v>6264.95</v>
      </c>
      <c r="Y263" s="14">
        <f>1820+H263*0.373</f>
        <v>5822.446660000003</v>
      </c>
      <c r="Z263" s="4">
        <f t="shared" si="320"/>
        <v>5951.702499999999</v>
      </c>
      <c r="AA263" s="4">
        <f t="shared" si="321"/>
        <v>5951.702499999999</v>
      </c>
      <c r="AB263" s="14">
        <v>0</v>
      </c>
      <c r="AC263" s="14">
        <v>0</v>
      </c>
      <c r="AD263" s="14">
        <f t="shared" si="322"/>
        <v>6264.95</v>
      </c>
      <c r="AE263" s="14">
        <f t="shared" si="323"/>
        <v>6264.95</v>
      </c>
      <c r="AF263" s="14">
        <v>0</v>
      </c>
      <c r="AG263" s="7">
        <f t="shared" si="350"/>
        <v>21318.388000000014</v>
      </c>
      <c r="AH263" s="12">
        <f t="shared" si="325"/>
        <v>6891.445000000001</v>
      </c>
      <c r="AI263" s="8">
        <f t="shared" si="326"/>
        <v>6264.95</v>
      </c>
      <c r="AJ263" s="14">
        <f t="shared" si="327"/>
        <v>8520.332</v>
      </c>
      <c r="AK263" s="14">
        <f t="shared" si="328"/>
        <v>6264.95</v>
      </c>
      <c r="AL263" s="14">
        <f t="shared" si="329"/>
        <v>6264.95</v>
      </c>
      <c r="AM263" s="7">
        <f t="shared" si="330"/>
        <v>6264.95</v>
      </c>
      <c r="AN263" s="7">
        <f t="shared" si="331"/>
        <v>6264.95</v>
      </c>
      <c r="AO263" s="7">
        <f t="shared" si="332"/>
        <v>5011.96</v>
      </c>
      <c r="AP263" s="14">
        <f t="shared" si="333"/>
        <v>6264.95</v>
      </c>
      <c r="AQ263" s="7">
        <f t="shared" si="351"/>
        <v>15227.42000000001</v>
      </c>
      <c r="AR263" s="7">
        <f t="shared" si="335"/>
        <v>77.5</v>
      </c>
      <c r="AS263" s="14">
        <f t="shared" si="336"/>
        <v>6264.95</v>
      </c>
      <c r="AT263" s="7">
        <f t="shared" si="337"/>
        <v>6264.95</v>
      </c>
      <c r="AU263" s="7">
        <f t="shared" si="338"/>
        <v>34.1</v>
      </c>
      <c r="AV263" s="14">
        <f t="shared" si="339"/>
        <v>6264.95</v>
      </c>
      <c r="AW263" s="7">
        <f t="shared" si="340"/>
        <v>5951.702499999999</v>
      </c>
      <c r="AX263" s="7">
        <f t="shared" si="341"/>
        <v>5513.156</v>
      </c>
      <c r="AY263" s="14">
        <v>0</v>
      </c>
      <c r="AZ263" s="14">
        <v>0</v>
      </c>
      <c r="BA263" s="14">
        <v>0</v>
      </c>
      <c r="BB263" s="12">
        <f t="shared" si="308"/>
        <v>6264.95</v>
      </c>
      <c r="BC263" s="12">
        <f t="shared" si="309"/>
        <v>6891.445000000001</v>
      </c>
      <c r="BD263" s="12">
        <f t="shared" si="310"/>
        <v>5638.455</v>
      </c>
      <c r="BE263" s="14">
        <v>0</v>
      </c>
      <c r="BF263" s="14">
        <v>0</v>
      </c>
      <c r="BG263" s="14">
        <v>0</v>
      </c>
      <c r="BH263" s="7">
        <f t="shared" si="342"/>
        <v>7517.94</v>
      </c>
      <c r="BI263" s="14">
        <f t="shared" si="343"/>
        <v>6264.95</v>
      </c>
      <c r="BJ263" s="8">
        <f t="shared" si="344"/>
        <v>5951.702499999999</v>
      </c>
      <c r="BK263" s="14">
        <f t="shared" si="345"/>
        <v>6264.95</v>
      </c>
      <c r="BL263" s="15">
        <f>5960+3576.80666666667*1.02</f>
        <v>9608.342800000004</v>
      </c>
      <c r="BM263" s="14">
        <f t="shared" si="346"/>
        <v>6264.95</v>
      </c>
      <c r="BN263" s="8">
        <f t="shared" si="347"/>
        <v>0</v>
      </c>
      <c r="BO263" s="8">
        <f t="shared" si="349"/>
        <v>21318.388000000014</v>
      </c>
    </row>
    <row r="264" spans="1:67" ht="19.5" customHeight="1">
      <c r="A264" s="10">
        <f t="shared" si="295"/>
        <v>263</v>
      </c>
      <c r="B264" s="10">
        <v>90913</v>
      </c>
      <c r="C264" s="6">
        <v>4209091300</v>
      </c>
      <c r="D264" s="30" t="s">
        <v>408</v>
      </c>
      <c r="E264" s="6" t="s">
        <v>89</v>
      </c>
      <c r="F264" s="45">
        <v>106.65</v>
      </c>
      <c r="G264" s="6">
        <v>420</v>
      </c>
      <c r="H264" s="48">
        <v>0</v>
      </c>
      <c r="I264" s="6">
        <v>0</v>
      </c>
      <c r="J264" s="8">
        <f t="shared" si="314"/>
        <v>32.201</v>
      </c>
      <c r="K264" s="24" t="s">
        <v>113</v>
      </c>
      <c r="L264" s="3">
        <v>24.77</v>
      </c>
      <c r="M264" s="3">
        <v>0</v>
      </c>
      <c r="N264" s="8" t="str">
        <f>CONCATENATE(ROUND(23.99*1.8,2)," ",K264)</f>
        <v>43.18 Per 15 minutes</v>
      </c>
      <c r="O264" s="8" t="str">
        <f>CONCATENATE(ROUND(L264,2)," ",K264)</f>
        <v>24.77 Per 15 minutes</v>
      </c>
      <c r="P264" s="7" t="s">
        <v>123</v>
      </c>
      <c r="Q264" s="3" t="str">
        <f>CONCATENATE(ROUND(L264,2)," ",K264)</f>
        <v>24.77 Per 15 minutes</v>
      </c>
      <c r="R264" s="3" t="str">
        <f>CONCATENATE(ROUND(L264*1.1,2)," ",K264)</f>
        <v>27.25 Per 15 minutes</v>
      </c>
      <c r="S264" s="3" t="str">
        <f>CONCATENATE(ROUND(L264,2)," ",K264)</f>
        <v>24.77 Per 15 minutes</v>
      </c>
      <c r="T264" s="4" t="s">
        <v>388</v>
      </c>
      <c r="U264" s="4" t="s">
        <v>389</v>
      </c>
      <c r="V264" s="3" t="str">
        <f>CONCATENATE(ROUND(L264,2)," ",K264)</f>
        <v>24.77 Per 15 minutes</v>
      </c>
      <c r="W264" s="3" t="str">
        <f>CONCATENATE(ROUND(L264,2)," ",K264)</f>
        <v>24.77 Per 15 minutes</v>
      </c>
      <c r="X264" s="3" t="str">
        <f>CONCATENATE(ROUND(L264,2)," ",K264)</f>
        <v>24.77 Per 15 minutes</v>
      </c>
      <c r="Y264" s="4" t="s">
        <v>392</v>
      </c>
      <c r="Z264" s="3" t="str">
        <f>CONCATENATE(ROUND(L264*0.95,2)," ",K264)</f>
        <v>23.53 Per 15 minutes</v>
      </c>
      <c r="AA264" s="3" t="str">
        <f>CONCATENATE(ROUND(L264*0.95,2)," ",K264)</f>
        <v>23.53 Per 15 minutes</v>
      </c>
      <c r="AB264" s="3" t="str">
        <f>CONCATENATE(ROUND(L264,2)," ",K264)</f>
        <v>24.77 Per 15 minutes</v>
      </c>
      <c r="AC264" s="3" t="str">
        <f>CONCATENATE(ROUND(L264*1.05,2)," ",K264)</f>
        <v>26.01 Per 15 minutes</v>
      </c>
      <c r="AD264" s="3" t="str">
        <f>CONCATENATE(ROUND(L264,2)," ",K264)</f>
        <v>24.77 Per 15 minutes</v>
      </c>
      <c r="AE264" s="3" t="str">
        <f>CONCATENATE(ROUND(L264,2)," ",K264)</f>
        <v>24.77 Per 15 minutes</v>
      </c>
      <c r="AF264" s="3" t="str">
        <f>CONCATENATE(ROUND(L264*0.92,2)," ",K264)</f>
        <v>22.79 Per 15 minutes</v>
      </c>
      <c r="AG264" s="3">
        <f>F264*0.7</f>
        <v>74.655</v>
      </c>
      <c r="AH264" s="4" t="s">
        <v>111</v>
      </c>
      <c r="AI264" s="4" t="s">
        <v>111</v>
      </c>
      <c r="AJ264" s="4" t="s">
        <v>363</v>
      </c>
      <c r="AK264" s="3" t="str">
        <f>CONCATENATE(ROUND(L264,2)," ",K264)</f>
        <v>24.77 Per 15 minutes</v>
      </c>
      <c r="AL264" s="3" t="str">
        <f>CONCATENATE(ROUND(L264,2)," ",K264)</f>
        <v>24.77 Per 15 minutes</v>
      </c>
      <c r="AM264" s="4" t="s">
        <v>124</v>
      </c>
      <c r="AN264" s="4" t="s">
        <v>124</v>
      </c>
      <c r="AO264" s="4" t="s">
        <v>118</v>
      </c>
      <c r="AP264" s="4" t="s">
        <v>119</v>
      </c>
      <c r="AQ264" s="7" t="s">
        <v>83</v>
      </c>
      <c r="AR264" s="2" t="s">
        <v>282</v>
      </c>
      <c r="AS264" s="2" t="s">
        <v>282</v>
      </c>
      <c r="AT264" s="4" t="s">
        <v>126</v>
      </c>
      <c r="AU264" s="3" t="str">
        <f>CONCATENATE(ROUND(M264*1.1,2)," ",K264)</f>
        <v>0 Per 15 minutes</v>
      </c>
      <c r="AV264" s="3" t="str">
        <f>CONCATENATE(ROUND(L264,2)," ",K264)</f>
        <v>24.77 Per 15 minutes</v>
      </c>
      <c r="AW264" s="3" t="str">
        <f>CONCATENATE(ROUND(L264*0.95,2)," ",K264)</f>
        <v>23.53 Per 15 minutes</v>
      </c>
      <c r="AX264" s="3" t="str">
        <f>CONCATENATE(ROUND(L264*0.88,2)," ",K264)</f>
        <v>21.8 Per 15 minutes</v>
      </c>
      <c r="AY264" s="3" t="s">
        <v>125</v>
      </c>
      <c r="AZ264" s="4" t="s">
        <v>400</v>
      </c>
      <c r="BA264" s="4" t="s">
        <v>126</v>
      </c>
      <c r="BB264" s="8">
        <v>0</v>
      </c>
      <c r="BC264" s="8">
        <v>0</v>
      </c>
      <c r="BD264" s="8">
        <v>0</v>
      </c>
      <c r="BE264" s="4" t="s">
        <v>112</v>
      </c>
      <c r="BF264" s="3" t="str">
        <f>CONCATENATE(ROUND(L264,2)," ",K264)</f>
        <v>24.77 Per 15 minutes</v>
      </c>
      <c r="BG264" s="8" t="str">
        <f>CONCATENATE(ROUND(L264*0.95,2)," ",K264)</f>
        <v>23.53 Per 15 minutes</v>
      </c>
      <c r="BH264" s="4" t="s">
        <v>83</v>
      </c>
      <c r="BI264" s="4" t="s">
        <v>83</v>
      </c>
      <c r="BJ264" s="3" t="str">
        <f>CONCATENATE(ROUND(L264*0.95,2)," ",K264)</f>
        <v>23.53 Per 15 minutes</v>
      </c>
      <c r="BK264" s="3" t="str">
        <f>CONCATENATE(ROUND(L264,2)," ",K264)</f>
        <v>24.77 Per 15 minutes</v>
      </c>
      <c r="BL264" s="4" t="s">
        <v>391</v>
      </c>
      <c r="BM264" s="7" t="s">
        <v>126</v>
      </c>
      <c r="BN264" s="8">
        <f t="shared" si="347"/>
        <v>0</v>
      </c>
      <c r="BO264" s="3" t="s">
        <v>416</v>
      </c>
    </row>
    <row r="265" spans="1:67" ht="19.5" customHeight="1">
      <c r="A265" s="10">
        <f t="shared" si="295"/>
        <v>264</v>
      </c>
      <c r="B265" s="10">
        <v>92548</v>
      </c>
      <c r="C265" s="6">
        <v>4209254800</v>
      </c>
      <c r="D265" s="30" t="s">
        <v>409</v>
      </c>
      <c r="E265" s="6" t="s">
        <v>89</v>
      </c>
      <c r="F265" s="45">
        <v>227</v>
      </c>
      <c r="G265" s="6">
        <v>420</v>
      </c>
      <c r="H265" s="48">
        <v>0</v>
      </c>
      <c r="I265" s="6">
        <v>0</v>
      </c>
      <c r="J265" s="8">
        <f t="shared" si="314"/>
        <v>150.943</v>
      </c>
      <c r="K265" s="24" t="s">
        <v>115</v>
      </c>
      <c r="L265" s="3">
        <v>116.11</v>
      </c>
      <c r="M265" s="3">
        <v>0</v>
      </c>
      <c r="N265" s="8" t="str">
        <f>CONCATENATE(ROUND(75.99*1.8,2)," ",K265)</f>
        <v>136.78 Per Visit </v>
      </c>
      <c r="O265" s="8" t="str">
        <f>CONCATENATE(ROUND(L265,2)," ",K265)</f>
        <v>116.11 Per Visit </v>
      </c>
      <c r="P265" s="7" t="s">
        <v>123</v>
      </c>
      <c r="Q265" s="3" t="str">
        <f>CONCATENATE(ROUND(L265,2)," ",K265)</f>
        <v>116.11 Per Visit </v>
      </c>
      <c r="R265" s="3" t="str">
        <f>CONCATENATE(ROUND(L265*1.1,2)," ",K265)</f>
        <v>127.72 Per Visit </v>
      </c>
      <c r="S265" s="3" t="str">
        <f>CONCATENATE(ROUND(L265,2)," ",K265)</f>
        <v>116.11 Per Visit </v>
      </c>
      <c r="T265" s="4" t="s">
        <v>388</v>
      </c>
      <c r="U265" s="4" t="s">
        <v>389</v>
      </c>
      <c r="V265" s="3" t="str">
        <f>CONCATENATE(ROUND(L265,2)," ",K265)</f>
        <v>116.11 Per Visit </v>
      </c>
      <c r="W265" s="3" t="str">
        <f>CONCATENATE(ROUND(L265,2)," ",K265)</f>
        <v>116.11 Per Visit </v>
      </c>
      <c r="X265" s="3" t="str">
        <f>CONCATENATE(ROUND(L265,2)," ",K265)</f>
        <v>116.11 Per Visit </v>
      </c>
      <c r="Y265" s="4" t="s">
        <v>392</v>
      </c>
      <c r="Z265" s="3" t="str">
        <f>CONCATENATE(ROUND(L265*0.95,2)," ",K265)</f>
        <v>110.3 Per Visit </v>
      </c>
      <c r="AA265" s="3" t="str">
        <f>CONCATENATE(ROUND(L265*0.95,2)," ",K265)</f>
        <v>110.3 Per Visit </v>
      </c>
      <c r="AB265" s="3" t="str">
        <f>CONCATENATE(ROUND(L265,2)," ",K265)</f>
        <v>116.11 Per Visit </v>
      </c>
      <c r="AC265" s="3" t="str">
        <f>CONCATENATE(ROUND(L265*1.05,2)," ",K265)</f>
        <v>121.92 Per Visit </v>
      </c>
      <c r="AD265" s="3" t="str">
        <f>CONCATENATE(ROUND(L265,2)," ",K265)</f>
        <v>116.11 Per Visit </v>
      </c>
      <c r="AE265" s="3" t="str">
        <f>CONCATENATE(ROUND(L265,2)," ",K265)</f>
        <v>116.11 Per Visit </v>
      </c>
      <c r="AF265" s="3" t="str">
        <f>CONCATENATE(ROUND(L265*0.92,2)," ",K265)</f>
        <v>106.82 Per Visit </v>
      </c>
      <c r="AG265" s="3">
        <f>F265*0.7</f>
        <v>158.89999999999998</v>
      </c>
      <c r="AH265" s="4" t="s">
        <v>111</v>
      </c>
      <c r="AI265" s="4" t="s">
        <v>111</v>
      </c>
      <c r="AJ265" s="4" t="s">
        <v>363</v>
      </c>
      <c r="AK265" s="3" t="str">
        <f>CONCATENATE(ROUND(L265,2)," ",K265)</f>
        <v>116.11 Per Visit </v>
      </c>
      <c r="AL265" s="3" t="str">
        <f>CONCATENATE(ROUND(L265,2)," ",K265)</f>
        <v>116.11 Per Visit </v>
      </c>
      <c r="AM265" s="4" t="s">
        <v>124</v>
      </c>
      <c r="AN265" s="4" t="s">
        <v>124</v>
      </c>
      <c r="AO265" s="4" t="s">
        <v>118</v>
      </c>
      <c r="AP265" s="4" t="s">
        <v>119</v>
      </c>
      <c r="AQ265" s="7" t="s">
        <v>83</v>
      </c>
      <c r="AR265" s="2" t="s">
        <v>282</v>
      </c>
      <c r="AS265" s="2" t="s">
        <v>282</v>
      </c>
      <c r="AT265" s="4" t="s">
        <v>126</v>
      </c>
      <c r="AU265" s="3" t="str">
        <f>CONCATENATE(ROUND(M265*1.1,2)," ",K265)</f>
        <v>0 Per Visit </v>
      </c>
      <c r="AV265" s="3" t="str">
        <f>CONCATENATE(ROUND(L265,2)," ",K265)</f>
        <v>116.11 Per Visit </v>
      </c>
      <c r="AW265" s="3" t="str">
        <f>CONCATENATE(ROUND(L265*0.95,2)," ",K265)</f>
        <v>110.3 Per Visit </v>
      </c>
      <c r="AX265" s="3" t="str">
        <f>CONCATENATE(ROUND(L265*0.88,2)," ",K265)</f>
        <v>102.18 Per Visit </v>
      </c>
      <c r="AY265" s="3" t="s">
        <v>125</v>
      </c>
      <c r="AZ265" s="4" t="s">
        <v>400</v>
      </c>
      <c r="BA265" s="4" t="s">
        <v>126</v>
      </c>
      <c r="BB265" s="8">
        <v>0</v>
      </c>
      <c r="BC265" s="8">
        <v>0</v>
      </c>
      <c r="BD265" s="8">
        <v>0</v>
      </c>
      <c r="BE265" s="4" t="s">
        <v>112</v>
      </c>
      <c r="BF265" s="3" t="str">
        <f>CONCATENATE(ROUND(L265,2)," ",K265)</f>
        <v>116.11 Per Visit </v>
      </c>
      <c r="BG265" s="8" t="str">
        <f>CONCATENATE(ROUND(L265*0.95,2)," ",K265)</f>
        <v>110.3 Per Visit </v>
      </c>
      <c r="BH265" s="4" t="s">
        <v>83</v>
      </c>
      <c r="BI265" s="4" t="s">
        <v>83</v>
      </c>
      <c r="BJ265" s="3" t="str">
        <f>CONCATENATE(ROUND(L265*0.95,2)," ",K265)</f>
        <v>110.3 Per Visit </v>
      </c>
      <c r="BK265" s="3" t="str">
        <f>CONCATENATE(ROUND(L265,2)," ",K265)</f>
        <v>116.11 Per Visit </v>
      </c>
      <c r="BL265" s="4" t="s">
        <v>391</v>
      </c>
      <c r="BM265" s="7" t="s">
        <v>126</v>
      </c>
      <c r="BN265" s="8">
        <f>MIN(N265:BM265)</f>
        <v>0</v>
      </c>
      <c r="BO265" s="3" t="s">
        <v>416</v>
      </c>
    </row>
    <row r="266" spans="1:67" ht="19.5" customHeight="1">
      <c r="A266" s="10">
        <f aca="true" t="shared" si="352" ref="A266:A301">A265+1</f>
        <v>265</v>
      </c>
      <c r="B266" s="10">
        <v>95852</v>
      </c>
      <c r="C266" s="6">
        <v>4209585200</v>
      </c>
      <c r="D266" s="30" t="s">
        <v>410</v>
      </c>
      <c r="E266" s="6" t="s">
        <v>89</v>
      </c>
      <c r="F266" s="45">
        <v>116</v>
      </c>
      <c r="G266" s="6">
        <v>420</v>
      </c>
      <c r="H266" s="48">
        <v>0</v>
      </c>
      <c r="I266" s="6">
        <v>0</v>
      </c>
      <c r="J266" s="8">
        <f t="shared" si="314"/>
        <v>7.202</v>
      </c>
      <c r="K266" s="24" t="s">
        <v>115</v>
      </c>
      <c r="L266" s="3">
        <v>5.54</v>
      </c>
      <c r="M266" s="3">
        <v>9.98</v>
      </c>
      <c r="N266" s="8" t="str">
        <f>CONCATENATE(ROUND(5.35*1.8,2)," ",K266)</f>
        <v>9.63 Per Visit </v>
      </c>
      <c r="O266" s="8" t="str">
        <f>CONCATENATE(ROUND(L266,2)," ",K266)</f>
        <v>5.54 Per Visit </v>
      </c>
      <c r="P266" s="7" t="s">
        <v>123</v>
      </c>
      <c r="Q266" s="3" t="str">
        <f>CONCATENATE(ROUND(L266,2)," ",K266)</f>
        <v>5.54 Per Visit </v>
      </c>
      <c r="R266" s="3" t="str">
        <f>CONCATENATE(ROUND(L266*1.1,2)," ",K266)</f>
        <v>6.09 Per Visit </v>
      </c>
      <c r="S266" s="3" t="str">
        <f>CONCATENATE(ROUND(L266,2)," ",K266)</f>
        <v>5.54 Per Visit </v>
      </c>
      <c r="T266" s="4" t="s">
        <v>388</v>
      </c>
      <c r="U266" s="4" t="s">
        <v>389</v>
      </c>
      <c r="V266" s="3" t="str">
        <f>CONCATENATE(ROUND(L266,2)," ",K266)</f>
        <v>5.54 Per Visit </v>
      </c>
      <c r="W266" s="3" t="str">
        <f>CONCATENATE(ROUND(L266,2)," ",K266)</f>
        <v>5.54 Per Visit </v>
      </c>
      <c r="X266" s="3" t="str">
        <f>CONCATENATE(ROUND(L266,2)," ",K266)</f>
        <v>5.54 Per Visit </v>
      </c>
      <c r="Y266" s="4" t="s">
        <v>392</v>
      </c>
      <c r="Z266" s="3" t="str">
        <f>CONCATENATE(ROUND(L266*0.95,2)," ",K266)</f>
        <v>5.26 Per Visit </v>
      </c>
      <c r="AA266" s="3" t="str">
        <f>CONCATENATE(ROUND(L266*0.95,2)," ",K266)</f>
        <v>5.26 Per Visit </v>
      </c>
      <c r="AB266" s="3" t="str">
        <f>CONCATENATE(ROUND(L266,2)," ",K266)</f>
        <v>5.54 Per Visit </v>
      </c>
      <c r="AC266" s="3" t="str">
        <f>CONCATENATE(ROUND(L266*1.05,2)," ",K266)</f>
        <v>5.82 Per Visit </v>
      </c>
      <c r="AD266" s="3" t="str">
        <f>CONCATENATE(ROUND(L266,2)," ",K266)</f>
        <v>5.54 Per Visit </v>
      </c>
      <c r="AE266" s="3" t="str">
        <f>CONCATENATE(ROUND(L266,2)," ",K266)</f>
        <v>5.54 Per Visit </v>
      </c>
      <c r="AF266" s="3" t="str">
        <f>CONCATENATE(ROUND(L266*0.92,2)," ",K266)</f>
        <v>5.1 Per Visit </v>
      </c>
      <c r="AG266" s="3">
        <f>F266*0.7</f>
        <v>81.19999999999999</v>
      </c>
      <c r="AH266" s="4" t="s">
        <v>111</v>
      </c>
      <c r="AI266" s="4" t="s">
        <v>111</v>
      </c>
      <c r="AJ266" s="4" t="s">
        <v>363</v>
      </c>
      <c r="AK266" s="3" t="str">
        <f>CONCATENATE(ROUND(L266,2)," ",K266)</f>
        <v>5.54 Per Visit </v>
      </c>
      <c r="AL266" s="3" t="str">
        <f>CONCATENATE(ROUND(L266,2)," ",K266)</f>
        <v>5.54 Per Visit </v>
      </c>
      <c r="AM266" s="4" t="s">
        <v>124</v>
      </c>
      <c r="AN266" s="4" t="s">
        <v>124</v>
      </c>
      <c r="AO266" s="4" t="s">
        <v>118</v>
      </c>
      <c r="AP266" s="4" t="s">
        <v>119</v>
      </c>
      <c r="AQ266" s="7" t="s">
        <v>83</v>
      </c>
      <c r="AR266" s="2" t="s">
        <v>282</v>
      </c>
      <c r="AS266" s="2" t="s">
        <v>282</v>
      </c>
      <c r="AT266" s="4" t="s">
        <v>126</v>
      </c>
      <c r="AU266" s="3" t="str">
        <f>CONCATENATE(ROUND(M266*1.1,2)," ",K266)</f>
        <v>10.98 Per Visit </v>
      </c>
      <c r="AV266" s="3" t="str">
        <f>CONCATENATE(ROUND(L266,2)," ",K266)</f>
        <v>5.54 Per Visit </v>
      </c>
      <c r="AW266" s="3" t="str">
        <f>CONCATENATE(ROUND(L266*0.95,2)," ",K266)</f>
        <v>5.26 Per Visit </v>
      </c>
      <c r="AX266" s="3" t="str">
        <f>CONCATENATE(ROUND(L266*0.88,2)," ",K266)</f>
        <v>4.88 Per Visit </v>
      </c>
      <c r="AY266" s="3" t="s">
        <v>125</v>
      </c>
      <c r="AZ266" s="4" t="s">
        <v>400</v>
      </c>
      <c r="BA266" s="4" t="s">
        <v>126</v>
      </c>
      <c r="BB266" s="8">
        <v>0</v>
      </c>
      <c r="BC266" s="8">
        <v>0</v>
      </c>
      <c r="BD266" s="8">
        <v>0</v>
      </c>
      <c r="BE266" s="4" t="s">
        <v>112</v>
      </c>
      <c r="BF266" s="3" t="str">
        <f>CONCATENATE(ROUND(L266,2)," ",K266)</f>
        <v>5.54 Per Visit </v>
      </c>
      <c r="BG266" s="8" t="str">
        <f>CONCATENATE(ROUND(L266*0.95,2)," ",K266)</f>
        <v>5.26 Per Visit </v>
      </c>
      <c r="BH266" s="4" t="s">
        <v>83</v>
      </c>
      <c r="BI266" s="4" t="s">
        <v>83</v>
      </c>
      <c r="BJ266" s="3" t="str">
        <f>CONCATENATE(ROUND(L266*0.95,2)," ",K266)</f>
        <v>5.26 Per Visit </v>
      </c>
      <c r="BK266" s="3" t="str">
        <f>CONCATENATE(ROUND(L266,2)," ",K266)</f>
        <v>5.54 Per Visit </v>
      </c>
      <c r="BL266" s="4" t="s">
        <v>391</v>
      </c>
      <c r="BM266" s="7" t="s">
        <v>126</v>
      </c>
      <c r="BN266" s="8">
        <f>MIN(N266:BM266)</f>
        <v>0</v>
      </c>
      <c r="BO266" s="3" t="s">
        <v>416</v>
      </c>
    </row>
    <row r="267" spans="1:67" ht="19.5" customHeight="1">
      <c r="A267" s="10">
        <f t="shared" si="352"/>
        <v>266</v>
      </c>
      <c r="B267" s="10">
        <v>29581</v>
      </c>
      <c r="C267" s="10" t="s">
        <v>393</v>
      </c>
      <c r="D267" s="30" t="s">
        <v>184</v>
      </c>
      <c r="E267" s="11" t="s">
        <v>369</v>
      </c>
      <c r="F267" s="45">
        <v>200</v>
      </c>
      <c r="G267" s="6">
        <v>510</v>
      </c>
      <c r="H267" s="48">
        <v>0</v>
      </c>
      <c r="I267" s="6">
        <v>0</v>
      </c>
      <c r="J267" s="8">
        <f t="shared" si="314"/>
        <v>137.41</v>
      </c>
      <c r="K267" s="24" t="s">
        <v>115</v>
      </c>
      <c r="L267" s="3">
        <v>105.7</v>
      </c>
      <c r="M267" s="3">
        <v>77.81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  <c r="T267" s="8">
        <v>0</v>
      </c>
      <c r="U267" s="8">
        <v>0</v>
      </c>
      <c r="V267" s="8">
        <v>0</v>
      </c>
      <c r="W267" s="8">
        <v>0</v>
      </c>
      <c r="X267" s="8">
        <v>0</v>
      </c>
      <c r="Y267" s="8">
        <v>0</v>
      </c>
      <c r="Z267" s="8">
        <v>0</v>
      </c>
      <c r="AA267" s="8">
        <v>0</v>
      </c>
      <c r="AB267" s="8">
        <v>0</v>
      </c>
      <c r="AC267" s="8">
        <v>0</v>
      </c>
      <c r="AD267" s="8">
        <v>0</v>
      </c>
      <c r="AE267" s="8">
        <v>0</v>
      </c>
      <c r="AF267" s="8">
        <v>0</v>
      </c>
      <c r="AG267" s="8">
        <v>0</v>
      </c>
      <c r="AH267" s="8">
        <v>0</v>
      </c>
      <c r="AI267" s="8">
        <v>0</v>
      </c>
      <c r="AJ267" s="8">
        <v>0</v>
      </c>
      <c r="AK267" s="8">
        <v>0</v>
      </c>
      <c r="AL267" s="8">
        <v>0</v>
      </c>
      <c r="AM267" s="8">
        <v>0</v>
      </c>
      <c r="AN267" s="8">
        <v>0</v>
      </c>
      <c r="AO267" s="8">
        <v>0</v>
      </c>
      <c r="AP267" s="8">
        <v>0</v>
      </c>
      <c r="AQ267" s="8">
        <v>0</v>
      </c>
      <c r="AR267" s="8">
        <v>0</v>
      </c>
      <c r="AS267" s="8">
        <v>0</v>
      </c>
      <c r="AT267" s="8">
        <v>0</v>
      </c>
      <c r="AU267" s="8">
        <v>0</v>
      </c>
      <c r="AV267" s="8">
        <v>0</v>
      </c>
      <c r="AW267" s="8">
        <v>0</v>
      </c>
      <c r="AX267" s="8">
        <v>0</v>
      </c>
      <c r="AY267" s="8">
        <v>0</v>
      </c>
      <c r="AZ267" s="8">
        <v>0</v>
      </c>
      <c r="BA267" s="8">
        <v>0</v>
      </c>
      <c r="BB267" s="8">
        <v>0</v>
      </c>
      <c r="BC267" s="8">
        <v>0</v>
      </c>
      <c r="BD267" s="8">
        <v>0</v>
      </c>
      <c r="BE267" s="8">
        <v>0</v>
      </c>
      <c r="BF267" s="8">
        <v>0</v>
      </c>
      <c r="BG267" s="8">
        <v>0</v>
      </c>
      <c r="BH267" s="8">
        <v>0</v>
      </c>
      <c r="BI267" s="8">
        <v>0</v>
      </c>
      <c r="BJ267" s="14">
        <v>0</v>
      </c>
      <c r="BK267" s="14">
        <v>0</v>
      </c>
      <c r="BL267" s="14">
        <v>0</v>
      </c>
      <c r="BM267" s="14">
        <v>0</v>
      </c>
      <c r="BN267" s="8">
        <f t="shared" si="347"/>
        <v>0</v>
      </c>
      <c r="BO267" s="8">
        <f t="shared" si="349"/>
        <v>0</v>
      </c>
    </row>
    <row r="268" spans="1:67" ht="19.5" customHeight="1">
      <c r="A268" s="10">
        <f t="shared" si="352"/>
        <v>267</v>
      </c>
      <c r="B268" s="10">
        <v>99203</v>
      </c>
      <c r="C268" s="6" t="s">
        <v>379</v>
      </c>
      <c r="D268" s="29" t="s">
        <v>227</v>
      </c>
      <c r="E268" s="11" t="s">
        <v>369</v>
      </c>
      <c r="F268" s="45">
        <v>0</v>
      </c>
      <c r="G268" s="39" t="s">
        <v>379</v>
      </c>
      <c r="H268" s="48">
        <v>0</v>
      </c>
      <c r="I268" s="6">
        <v>0</v>
      </c>
      <c r="J268" s="8">
        <v>0</v>
      </c>
      <c r="K268" s="24" t="s">
        <v>115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8">
        <v>0</v>
      </c>
      <c r="T268" s="8">
        <v>0</v>
      </c>
      <c r="U268" s="8">
        <v>0</v>
      </c>
      <c r="V268" s="8">
        <v>0</v>
      </c>
      <c r="W268" s="8">
        <v>0</v>
      </c>
      <c r="X268" s="8">
        <v>0</v>
      </c>
      <c r="Y268" s="8">
        <v>0</v>
      </c>
      <c r="Z268" s="8">
        <v>0</v>
      </c>
      <c r="AA268" s="8">
        <v>0</v>
      </c>
      <c r="AB268" s="8">
        <v>0</v>
      </c>
      <c r="AC268" s="8">
        <v>0</v>
      </c>
      <c r="AD268" s="8">
        <v>0</v>
      </c>
      <c r="AE268" s="8">
        <v>0</v>
      </c>
      <c r="AF268" s="8">
        <v>0</v>
      </c>
      <c r="AG268" s="8">
        <v>0</v>
      </c>
      <c r="AH268" s="8">
        <v>0</v>
      </c>
      <c r="AI268" s="8">
        <v>0</v>
      </c>
      <c r="AJ268" s="8">
        <v>0</v>
      </c>
      <c r="AK268" s="8">
        <v>0</v>
      </c>
      <c r="AL268" s="8">
        <v>0</v>
      </c>
      <c r="AM268" s="8">
        <v>0</v>
      </c>
      <c r="AN268" s="8">
        <v>0</v>
      </c>
      <c r="AO268" s="8">
        <v>0</v>
      </c>
      <c r="AP268" s="8">
        <v>0</v>
      </c>
      <c r="AQ268" s="8">
        <v>0</v>
      </c>
      <c r="AR268" s="8">
        <v>0</v>
      </c>
      <c r="AS268" s="8">
        <v>0</v>
      </c>
      <c r="AT268" s="8">
        <v>0</v>
      </c>
      <c r="AU268" s="8">
        <v>0</v>
      </c>
      <c r="AV268" s="8">
        <v>0</v>
      </c>
      <c r="AW268" s="8">
        <v>0</v>
      </c>
      <c r="AX268" s="8">
        <v>0</v>
      </c>
      <c r="AY268" s="8">
        <v>0</v>
      </c>
      <c r="AZ268" s="8">
        <v>0</v>
      </c>
      <c r="BA268" s="8">
        <v>0</v>
      </c>
      <c r="BB268" s="8">
        <v>0</v>
      </c>
      <c r="BC268" s="8">
        <v>0</v>
      </c>
      <c r="BD268" s="8">
        <v>0</v>
      </c>
      <c r="BE268" s="8">
        <v>0</v>
      </c>
      <c r="BF268" s="8">
        <v>0</v>
      </c>
      <c r="BG268" s="8">
        <v>0</v>
      </c>
      <c r="BH268" s="8">
        <v>0</v>
      </c>
      <c r="BI268" s="8">
        <v>0</v>
      </c>
      <c r="BJ268" s="14">
        <v>0</v>
      </c>
      <c r="BK268" s="14">
        <v>0</v>
      </c>
      <c r="BL268" s="14">
        <v>0</v>
      </c>
      <c r="BM268" s="14">
        <v>0</v>
      </c>
      <c r="BN268" s="8">
        <f t="shared" si="347"/>
        <v>0</v>
      </c>
      <c r="BO268" s="8">
        <f t="shared" si="349"/>
        <v>0</v>
      </c>
    </row>
    <row r="269" spans="1:67" ht="19.5" customHeight="1">
      <c r="A269" s="10">
        <f t="shared" si="352"/>
        <v>268</v>
      </c>
      <c r="B269" s="10">
        <v>99204</v>
      </c>
      <c r="C269" s="6" t="s">
        <v>379</v>
      </c>
      <c r="D269" s="29" t="s">
        <v>228</v>
      </c>
      <c r="E269" s="11" t="s">
        <v>369</v>
      </c>
      <c r="F269" s="45">
        <v>0</v>
      </c>
      <c r="G269" s="39" t="s">
        <v>379</v>
      </c>
      <c r="H269" s="48">
        <v>0</v>
      </c>
      <c r="I269" s="6">
        <v>0</v>
      </c>
      <c r="J269" s="8">
        <v>0</v>
      </c>
      <c r="K269" s="24" t="s">
        <v>115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  <c r="T269" s="8">
        <v>0</v>
      </c>
      <c r="U269" s="8">
        <v>0</v>
      </c>
      <c r="V269" s="8">
        <v>0</v>
      </c>
      <c r="W269" s="8">
        <v>0</v>
      </c>
      <c r="X269" s="8">
        <v>0</v>
      </c>
      <c r="Y269" s="8">
        <v>0</v>
      </c>
      <c r="Z269" s="8">
        <v>0</v>
      </c>
      <c r="AA269" s="8">
        <v>0</v>
      </c>
      <c r="AB269" s="8">
        <v>0</v>
      </c>
      <c r="AC269" s="8">
        <v>0</v>
      </c>
      <c r="AD269" s="8">
        <v>0</v>
      </c>
      <c r="AE269" s="8">
        <v>0</v>
      </c>
      <c r="AF269" s="8">
        <v>0</v>
      </c>
      <c r="AG269" s="8">
        <v>0</v>
      </c>
      <c r="AH269" s="8">
        <v>0</v>
      </c>
      <c r="AI269" s="8">
        <v>0</v>
      </c>
      <c r="AJ269" s="8">
        <v>0</v>
      </c>
      <c r="AK269" s="8">
        <v>0</v>
      </c>
      <c r="AL269" s="8">
        <v>0</v>
      </c>
      <c r="AM269" s="8">
        <v>0</v>
      </c>
      <c r="AN269" s="8">
        <v>0</v>
      </c>
      <c r="AO269" s="8">
        <v>0</v>
      </c>
      <c r="AP269" s="8">
        <v>0</v>
      </c>
      <c r="AQ269" s="8">
        <v>0</v>
      </c>
      <c r="AR269" s="8">
        <v>0</v>
      </c>
      <c r="AS269" s="8">
        <v>0</v>
      </c>
      <c r="AT269" s="8">
        <v>0</v>
      </c>
      <c r="AU269" s="8">
        <v>0</v>
      </c>
      <c r="AV269" s="8">
        <v>0</v>
      </c>
      <c r="AW269" s="8">
        <v>0</v>
      </c>
      <c r="AX269" s="8">
        <v>0</v>
      </c>
      <c r="AY269" s="8">
        <v>0</v>
      </c>
      <c r="AZ269" s="8">
        <v>0</v>
      </c>
      <c r="BA269" s="8">
        <v>0</v>
      </c>
      <c r="BB269" s="8">
        <v>0</v>
      </c>
      <c r="BC269" s="8">
        <v>0</v>
      </c>
      <c r="BD269" s="8">
        <v>0</v>
      </c>
      <c r="BE269" s="8">
        <v>0</v>
      </c>
      <c r="BF269" s="8">
        <v>0</v>
      </c>
      <c r="BG269" s="8">
        <v>0</v>
      </c>
      <c r="BH269" s="8">
        <v>0</v>
      </c>
      <c r="BI269" s="8">
        <v>0</v>
      </c>
      <c r="BJ269" s="14">
        <v>0</v>
      </c>
      <c r="BK269" s="14">
        <v>0</v>
      </c>
      <c r="BL269" s="14">
        <v>0</v>
      </c>
      <c r="BM269" s="14">
        <v>0</v>
      </c>
      <c r="BN269" s="8">
        <f t="shared" si="347"/>
        <v>0</v>
      </c>
      <c r="BO269" s="8">
        <f t="shared" si="349"/>
        <v>0</v>
      </c>
    </row>
    <row r="270" spans="1:67" ht="19.5" customHeight="1">
      <c r="A270" s="10">
        <f t="shared" si="352"/>
        <v>269</v>
      </c>
      <c r="B270" s="10">
        <v>96112</v>
      </c>
      <c r="C270" s="6">
        <v>4209611200</v>
      </c>
      <c r="D270" s="29" t="s">
        <v>411</v>
      </c>
      <c r="E270" s="6" t="s">
        <v>89</v>
      </c>
      <c r="F270" s="45">
        <v>231</v>
      </c>
      <c r="G270" s="6">
        <v>420</v>
      </c>
      <c r="H270" s="48">
        <v>0</v>
      </c>
      <c r="I270" s="6">
        <v>0</v>
      </c>
      <c r="J270" s="8">
        <f t="shared" si="314"/>
        <v>364.07800000000003</v>
      </c>
      <c r="K270" s="24" t="s">
        <v>115</v>
      </c>
      <c r="L270" s="3">
        <v>280.06</v>
      </c>
      <c r="M270" s="3">
        <v>142.16</v>
      </c>
      <c r="N270" s="8" t="str">
        <f>CONCATENATE(ROUND(122.56*1.8,2)," ",K270)</f>
        <v>220.61 Per Visit </v>
      </c>
      <c r="O270" s="8" t="str">
        <f>CONCATENATE(ROUND(L270,2)," ",K270)</f>
        <v>280.06 Per Visit </v>
      </c>
      <c r="P270" s="7" t="s">
        <v>123</v>
      </c>
      <c r="Q270" s="3" t="str">
        <f>CONCATENATE(ROUND(L270,2)," ",K270)</f>
        <v>280.06 Per Visit </v>
      </c>
      <c r="R270" s="3" t="str">
        <f>CONCATENATE(ROUND(L270*1.1,2)," ",K270)</f>
        <v>308.07 Per Visit </v>
      </c>
      <c r="S270" s="3" t="str">
        <f>CONCATENATE(ROUND(L270,2)," ",K270)</f>
        <v>280.06 Per Visit </v>
      </c>
      <c r="T270" s="4" t="s">
        <v>388</v>
      </c>
      <c r="U270" s="4" t="s">
        <v>389</v>
      </c>
      <c r="V270" s="3" t="str">
        <f>CONCATENATE(ROUND(L270,2)," ",K270)</f>
        <v>280.06 Per Visit </v>
      </c>
      <c r="W270" s="3" t="str">
        <f>CONCATENATE(ROUND(L270,2)," ",K270)</f>
        <v>280.06 Per Visit </v>
      </c>
      <c r="X270" s="3" t="str">
        <f>CONCATENATE(ROUND(L270,2)," ",K270)</f>
        <v>280.06 Per Visit </v>
      </c>
      <c r="Y270" s="4" t="s">
        <v>392</v>
      </c>
      <c r="Z270" s="3" t="str">
        <f>CONCATENATE(ROUND(L270*0.95,2)," ",K270)</f>
        <v>266.06 Per Visit </v>
      </c>
      <c r="AA270" s="3" t="str">
        <f>CONCATENATE(ROUND(L270*0.95,2)," ",K270)</f>
        <v>266.06 Per Visit </v>
      </c>
      <c r="AB270" s="3" t="str">
        <f>CONCATENATE(ROUND(L270,2)," ",K270)</f>
        <v>280.06 Per Visit </v>
      </c>
      <c r="AC270" s="3" t="str">
        <f>CONCATENATE(ROUND(L270*1.05,2)," ",K270)</f>
        <v>294.06 Per Visit </v>
      </c>
      <c r="AD270" s="3" t="str">
        <f>CONCATENATE(ROUND(L270,2)," ",K270)</f>
        <v>280.06 Per Visit </v>
      </c>
      <c r="AE270" s="3" t="str">
        <f>CONCATENATE(ROUND(L270,2)," ",K270)</f>
        <v>280.06 Per Visit </v>
      </c>
      <c r="AF270" s="3" t="str">
        <f>CONCATENATE(ROUND(L270*0.92,2)," ",K270)</f>
        <v>257.66 Per Visit </v>
      </c>
      <c r="AG270" s="3">
        <f>F270*0.7</f>
        <v>161.7</v>
      </c>
      <c r="AH270" s="4" t="s">
        <v>111</v>
      </c>
      <c r="AI270" s="4" t="s">
        <v>111</v>
      </c>
      <c r="AJ270" s="4" t="s">
        <v>363</v>
      </c>
      <c r="AK270" s="3" t="str">
        <f>CONCATENATE(ROUND(L270,2)," ",K270)</f>
        <v>280.06 Per Visit </v>
      </c>
      <c r="AL270" s="3" t="str">
        <f>CONCATENATE(ROUND(L270,2)," ",K270)</f>
        <v>280.06 Per Visit </v>
      </c>
      <c r="AM270" s="4" t="s">
        <v>124</v>
      </c>
      <c r="AN270" s="4" t="s">
        <v>124</v>
      </c>
      <c r="AO270" s="4" t="s">
        <v>118</v>
      </c>
      <c r="AP270" s="4" t="s">
        <v>119</v>
      </c>
      <c r="AQ270" s="7" t="s">
        <v>83</v>
      </c>
      <c r="AR270" s="2" t="s">
        <v>282</v>
      </c>
      <c r="AS270" s="2" t="s">
        <v>282</v>
      </c>
      <c r="AT270" s="4" t="s">
        <v>126</v>
      </c>
      <c r="AU270" s="3" t="str">
        <f>CONCATENATE(ROUND(M270*1.1,2)," ",K270)</f>
        <v>156.38 Per Visit </v>
      </c>
      <c r="AV270" s="3" t="str">
        <f>CONCATENATE(ROUND(L270,2)," ",K270)</f>
        <v>280.06 Per Visit </v>
      </c>
      <c r="AW270" s="3" t="str">
        <f>CONCATENATE(ROUND(L270*0.95,2)," ",K270)</f>
        <v>266.06 Per Visit </v>
      </c>
      <c r="AX270" s="3" t="str">
        <f>CONCATENATE(ROUND(L270*0.88,2)," ",K270)</f>
        <v>246.45 Per Visit </v>
      </c>
      <c r="AY270" s="3" t="s">
        <v>125</v>
      </c>
      <c r="AZ270" s="4" t="s">
        <v>400</v>
      </c>
      <c r="BA270" s="4" t="s">
        <v>126</v>
      </c>
      <c r="BB270" s="8">
        <v>0</v>
      </c>
      <c r="BC270" s="8">
        <v>0</v>
      </c>
      <c r="BD270" s="8">
        <v>0</v>
      </c>
      <c r="BE270" s="4" t="s">
        <v>112</v>
      </c>
      <c r="BF270" s="3" t="str">
        <f>CONCATENATE(ROUND(L270,2)," ",K270)</f>
        <v>280.06 Per Visit </v>
      </c>
      <c r="BG270" s="8" t="str">
        <f>CONCATENATE(ROUND(L270*0.95,2)," ",K270)</f>
        <v>266.06 Per Visit </v>
      </c>
      <c r="BH270" s="4" t="s">
        <v>83</v>
      </c>
      <c r="BI270" s="4" t="s">
        <v>83</v>
      </c>
      <c r="BJ270" s="3" t="str">
        <f>CONCATENATE(ROUND(L270*0.95,2)," ",K270)</f>
        <v>266.06 Per Visit </v>
      </c>
      <c r="BK270" s="3" t="str">
        <f>CONCATENATE(ROUND(L270,2)," ",K270)</f>
        <v>280.06 Per Visit </v>
      </c>
      <c r="BL270" s="4" t="s">
        <v>391</v>
      </c>
      <c r="BM270" s="7" t="s">
        <v>126</v>
      </c>
      <c r="BN270" s="8">
        <f t="shared" si="347"/>
        <v>0</v>
      </c>
      <c r="BO270" s="3" t="s">
        <v>416</v>
      </c>
    </row>
    <row r="271" spans="1:67" ht="19.5" customHeight="1">
      <c r="A271" s="10">
        <f t="shared" si="352"/>
        <v>270</v>
      </c>
      <c r="B271" s="10">
        <v>99205</v>
      </c>
      <c r="C271" s="6" t="s">
        <v>379</v>
      </c>
      <c r="D271" s="30" t="s">
        <v>229</v>
      </c>
      <c r="E271" s="11" t="s">
        <v>369</v>
      </c>
      <c r="F271" s="45">
        <v>0</v>
      </c>
      <c r="G271" s="39" t="s">
        <v>379</v>
      </c>
      <c r="H271" s="48">
        <v>0</v>
      </c>
      <c r="I271" s="6">
        <v>0</v>
      </c>
      <c r="J271" s="8">
        <v>0</v>
      </c>
      <c r="K271" s="24" t="s">
        <v>115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v>0</v>
      </c>
      <c r="S271" s="8">
        <v>0</v>
      </c>
      <c r="T271" s="8">
        <v>0</v>
      </c>
      <c r="U271" s="8">
        <v>0</v>
      </c>
      <c r="V271" s="8">
        <v>0</v>
      </c>
      <c r="W271" s="8">
        <v>0</v>
      </c>
      <c r="X271" s="8">
        <v>0</v>
      </c>
      <c r="Y271" s="8">
        <v>0</v>
      </c>
      <c r="Z271" s="8">
        <v>0</v>
      </c>
      <c r="AA271" s="8">
        <v>0</v>
      </c>
      <c r="AB271" s="8">
        <v>0</v>
      </c>
      <c r="AC271" s="8">
        <v>0</v>
      </c>
      <c r="AD271" s="8">
        <v>0</v>
      </c>
      <c r="AE271" s="8">
        <v>0</v>
      </c>
      <c r="AF271" s="8">
        <v>0</v>
      </c>
      <c r="AG271" s="8">
        <v>0</v>
      </c>
      <c r="AH271" s="8">
        <v>0</v>
      </c>
      <c r="AI271" s="8">
        <v>0</v>
      </c>
      <c r="AJ271" s="8">
        <v>0</v>
      </c>
      <c r="AK271" s="8">
        <v>0</v>
      </c>
      <c r="AL271" s="8">
        <v>0</v>
      </c>
      <c r="AM271" s="8">
        <v>0</v>
      </c>
      <c r="AN271" s="8">
        <v>0</v>
      </c>
      <c r="AO271" s="8">
        <v>0</v>
      </c>
      <c r="AP271" s="8">
        <v>0</v>
      </c>
      <c r="AQ271" s="8">
        <v>0</v>
      </c>
      <c r="AR271" s="8">
        <v>0</v>
      </c>
      <c r="AS271" s="8">
        <v>0</v>
      </c>
      <c r="AT271" s="8">
        <v>0</v>
      </c>
      <c r="AU271" s="8">
        <v>0</v>
      </c>
      <c r="AV271" s="8">
        <v>0</v>
      </c>
      <c r="AW271" s="8">
        <v>0</v>
      </c>
      <c r="AX271" s="8">
        <v>0</v>
      </c>
      <c r="AY271" s="8">
        <v>0</v>
      </c>
      <c r="AZ271" s="8">
        <v>0</v>
      </c>
      <c r="BA271" s="8">
        <v>0</v>
      </c>
      <c r="BB271" s="8">
        <v>0</v>
      </c>
      <c r="BC271" s="8">
        <v>0</v>
      </c>
      <c r="BD271" s="8">
        <v>0</v>
      </c>
      <c r="BE271" s="8">
        <v>0</v>
      </c>
      <c r="BF271" s="8">
        <v>0</v>
      </c>
      <c r="BG271" s="8">
        <v>0</v>
      </c>
      <c r="BH271" s="8">
        <v>0</v>
      </c>
      <c r="BI271" s="8">
        <v>0</v>
      </c>
      <c r="BJ271" s="14">
        <v>0</v>
      </c>
      <c r="BK271" s="14">
        <v>0</v>
      </c>
      <c r="BL271" s="14">
        <v>0</v>
      </c>
      <c r="BM271" s="14">
        <v>0</v>
      </c>
      <c r="BN271" s="8">
        <f t="shared" si="347"/>
        <v>0</v>
      </c>
      <c r="BO271" s="8">
        <f t="shared" si="349"/>
        <v>0</v>
      </c>
    </row>
    <row r="272" spans="1:67" ht="19.5" customHeight="1">
      <c r="A272" s="10">
        <f t="shared" si="352"/>
        <v>271</v>
      </c>
      <c r="B272" s="23">
        <v>97016</v>
      </c>
      <c r="C272" s="6">
        <v>4209701600</v>
      </c>
      <c r="D272" s="37" t="s">
        <v>412</v>
      </c>
      <c r="E272" s="6" t="s">
        <v>89</v>
      </c>
      <c r="F272" s="45">
        <v>39.12</v>
      </c>
      <c r="G272" s="23">
        <v>420</v>
      </c>
      <c r="H272" s="48">
        <v>0</v>
      </c>
      <c r="I272" s="6">
        <v>0</v>
      </c>
      <c r="J272" s="8">
        <f t="shared" si="314"/>
        <v>16.406</v>
      </c>
      <c r="K272" s="24" t="s">
        <v>115</v>
      </c>
      <c r="L272" s="3">
        <v>12.62</v>
      </c>
      <c r="M272" s="3">
        <v>13.59</v>
      </c>
      <c r="N272" s="8" t="str">
        <f>CONCATENATE(ROUND(11.78*1.8,2)," ",K272)</f>
        <v>21.2 Per Visit </v>
      </c>
      <c r="O272" s="8" t="str">
        <f>CONCATENATE(ROUND(L272,2)," ",K272)</f>
        <v>12.62 Per Visit </v>
      </c>
      <c r="P272" s="7" t="s">
        <v>123</v>
      </c>
      <c r="Q272" s="3" t="str">
        <f>CONCATENATE(ROUND(L272,2)," ",K272)</f>
        <v>12.62 Per Visit </v>
      </c>
      <c r="R272" s="3" t="str">
        <f>CONCATENATE(ROUND(L272*1.1,2)," ",K272)</f>
        <v>13.88 Per Visit </v>
      </c>
      <c r="S272" s="3" t="str">
        <f>CONCATENATE(ROUND(L272,2)," ",K272)</f>
        <v>12.62 Per Visit </v>
      </c>
      <c r="T272" s="4" t="s">
        <v>388</v>
      </c>
      <c r="U272" s="4" t="s">
        <v>389</v>
      </c>
      <c r="V272" s="3" t="str">
        <f>CONCATENATE(ROUND(L272,2)," ",K272)</f>
        <v>12.62 Per Visit </v>
      </c>
      <c r="W272" s="3" t="str">
        <f>CONCATENATE(ROUND(L272,2)," ",K272)</f>
        <v>12.62 Per Visit </v>
      </c>
      <c r="X272" s="3" t="str">
        <f>CONCATENATE(ROUND(L272,2)," ",K272)</f>
        <v>12.62 Per Visit </v>
      </c>
      <c r="Y272" s="4" t="s">
        <v>392</v>
      </c>
      <c r="Z272" s="3" t="str">
        <f>CONCATENATE(ROUND(L272*0.95,2)," ",K272)</f>
        <v>11.99 Per Visit </v>
      </c>
      <c r="AA272" s="3" t="str">
        <f>CONCATENATE(ROUND(L272*0.95,2)," ",K272)</f>
        <v>11.99 Per Visit </v>
      </c>
      <c r="AB272" s="3" t="str">
        <f>CONCATENATE(ROUND(L272,2)," ",K272)</f>
        <v>12.62 Per Visit </v>
      </c>
      <c r="AC272" s="3" t="str">
        <f>CONCATENATE(ROUND(L272*1.05,2)," ",K272)</f>
        <v>13.25 Per Visit </v>
      </c>
      <c r="AD272" s="3" t="str">
        <f>CONCATENATE(ROUND(L272,2)," ",K272)</f>
        <v>12.62 Per Visit </v>
      </c>
      <c r="AE272" s="3" t="str">
        <f>CONCATENATE(ROUND(L272,2)," ",K272)</f>
        <v>12.62 Per Visit </v>
      </c>
      <c r="AF272" s="3" t="str">
        <f>CONCATENATE(ROUND(L272*0.92,2)," ",K272)</f>
        <v>11.61 Per Visit </v>
      </c>
      <c r="AG272" s="3">
        <f>F272*0.7</f>
        <v>27.383999999999997</v>
      </c>
      <c r="AH272" s="4" t="s">
        <v>111</v>
      </c>
      <c r="AI272" s="4" t="s">
        <v>111</v>
      </c>
      <c r="AJ272" s="4" t="s">
        <v>363</v>
      </c>
      <c r="AK272" s="3" t="str">
        <f>CONCATENATE(ROUND(L272,2)," ",K272)</f>
        <v>12.62 Per Visit </v>
      </c>
      <c r="AL272" s="3" t="str">
        <f>CONCATENATE(ROUND(L272,2)," ",K272)</f>
        <v>12.62 Per Visit </v>
      </c>
      <c r="AM272" s="4" t="s">
        <v>124</v>
      </c>
      <c r="AN272" s="4" t="s">
        <v>124</v>
      </c>
      <c r="AO272" s="4" t="s">
        <v>118</v>
      </c>
      <c r="AP272" s="4" t="s">
        <v>119</v>
      </c>
      <c r="AQ272" s="7" t="s">
        <v>83</v>
      </c>
      <c r="AR272" s="2" t="s">
        <v>282</v>
      </c>
      <c r="AS272" s="2" t="s">
        <v>282</v>
      </c>
      <c r="AT272" s="4" t="s">
        <v>126</v>
      </c>
      <c r="AU272" s="3" t="str">
        <f>CONCATENATE(ROUND(M272*1.1,2)," ",K272)</f>
        <v>14.95 Per Visit </v>
      </c>
      <c r="AV272" s="3" t="str">
        <f>CONCATENATE(ROUND(L272,2)," ",K272)</f>
        <v>12.62 Per Visit </v>
      </c>
      <c r="AW272" s="3" t="str">
        <f>CONCATENATE(ROUND(L272*0.95,2)," ",K272)</f>
        <v>11.99 Per Visit </v>
      </c>
      <c r="AX272" s="3" t="str">
        <f>CONCATENATE(ROUND(L272*0.88,2)," ",K272)</f>
        <v>11.11 Per Visit </v>
      </c>
      <c r="AY272" s="3" t="s">
        <v>125</v>
      </c>
      <c r="AZ272" s="4" t="s">
        <v>400</v>
      </c>
      <c r="BA272" s="4" t="s">
        <v>126</v>
      </c>
      <c r="BB272" s="8">
        <v>0</v>
      </c>
      <c r="BC272" s="8">
        <v>0</v>
      </c>
      <c r="BD272" s="8">
        <v>0</v>
      </c>
      <c r="BE272" s="4" t="s">
        <v>112</v>
      </c>
      <c r="BF272" s="3" t="str">
        <f>CONCATENATE(ROUND(L272,2)," ",K272)</f>
        <v>12.62 Per Visit </v>
      </c>
      <c r="BG272" s="8" t="str">
        <f>CONCATENATE(ROUND(L272*0.95,2)," ",K272)</f>
        <v>11.99 Per Visit </v>
      </c>
      <c r="BH272" s="4" t="s">
        <v>83</v>
      </c>
      <c r="BI272" s="4" t="s">
        <v>83</v>
      </c>
      <c r="BJ272" s="3" t="str">
        <f>CONCATENATE(ROUND(L272*0.95,2)," ",K272)</f>
        <v>11.99 Per Visit </v>
      </c>
      <c r="BK272" s="3" t="str">
        <f>CONCATENATE(ROUND(L272,2)," ",K272)</f>
        <v>12.62 Per Visit </v>
      </c>
      <c r="BL272" s="4" t="s">
        <v>391</v>
      </c>
      <c r="BM272" s="7" t="s">
        <v>126</v>
      </c>
      <c r="BN272" s="8">
        <f>MIN(N272:BM272)</f>
        <v>0</v>
      </c>
      <c r="BO272" s="3" t="s">
        <v>416</v>
      </c>
    </row>
    <row r="273" spans="1:67" ht="19.5" customHeight="1">
      <c r="A273" s="10">
        <f t="shared" si="352"/>
        <v>272</v>
      </c>
      <c r="B273" s="23">
        <v>95885</v>
      </c>
      <c r="C273" s="6">
        <v>9229588500</v>
      </c>
      <c r="D273" s="30" t="s">
        <v>195</v>
      </c>
      <c r="E273" s="11" t="s">
        <v>369</v>
      </c>
      <c r="F273" s="45">
        <v>0</v>
      </c>
      <c r="G273" s="23">
        <v>922</v>
      </c>
      <c r="H273" s="48">
        <v>0</v>
      </c>
      <c r="I273" s="6">
        <v>0</v>
      </c>
      <c r="J273" s="8">
        <f t="shared" si="314"/>
        <v>101.72500000000001</v>
      </c>
      <c r="K273" s="24" t="s">
        <v>115</v>
      </c>
      <c r="L273" s="3">
        <v>78.25</v>
      </c>
      <c r="M273" s="3">
        <v>49.84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8">
        <v>0</v>
      </c>
      <c r="T273" s="8">
        <v>0</v>
      </c>
      <c r="U273" s="8">
        <v>0</v>
      </c>
      <c r="V273" s="8">
        <v>0</v>
      </c>
      <c r="W273" s="8">
        <v>0</v>
      </c>
      <c r="X273" s="8">
        <v>0</v>
      </c>
      <c r="Y273" s="8">
        <v>0</v>
      </c>
      <c r="Z273" s="8">
        <v>0</v>
      </c>
      <c r="AA273" s="8">
        <v>0</v>
      </c>
      <c r="AB273" s="8">
        <v>0</v>
      </c>
      <c r="AC273" s="8">
        <v>0</v>
      </c>
      <c r="AD273" s="8">
        <v>0</v>
      </c>
      <c r="AE273" s="8">
        <v>0</v>
      </c>
      <c r="AF273" s="8">
        <v>0</v>
      </c>
      <c r="AG273" s="8">
        <v>0</v>
      </c>
      <c r="AH273" s="8">
        <v>0</v>
      </c>
      <c r="AI273" s="8">
        <v>0</v>
      </c>
      <c r="AJ273" s="8">
        <v>0</v>
      </c>
      <c r="AK273" s="8">
        <v>0</v>
      </c>
      <c r="AL273" s="8">
        <v>0</v>
      </c>
      <c r="AM273" s="8">
        <v>0</v>
      </c>
      <c r="AN273" s="8">
        <v>0</v>
      </c>
      <c r="AO273" s="8">
        <v>0</v>
      </c>
      <c r="AP273" s="8">
        <v>0</v>
      </c>
      <c r="AQ273" s="8">
        <v>0</v>
      </c>
      <c r="AR273" s="8">
        <v>0</v>
      </c>
      <c r="AS273" s="8">
        <v>0</v>
      </c>
      <c r="AT273" s="8">
        <v>0</v>
      </c>
      <c r="AU273" s="8">
        <v>0</v>
      </c>
      <c r="AV273" s="8">
        <v>0</v>
      </c>
      <c r="AW273" s="8">
        <v>0</v>
      </c>
      <c r="AX273" s="8">
        <v>0</v>
      </c>
      <c r="AY273" s="8">
        <v>0</v>
      </c>
      <c r="AZ273" s="8">
        <v>0</v>
      </c>
      <c r="BA273" s="8">
        <v>0</v>
      </c>
      <c r="BB273" s="8">
        <v>0</v>
      </c>
      <c r="BC273" s="8">
        <v>0</v>
      </c>
      <c r="BD273" s="8">
        <v>0</v>
      </c>
      <c r="BE273" s="8">
        <v>0</v>
      </c>
      <c r="BF273" s="8">
        <v>0</v>
      </c>
      <c r="BG273" s="8">
        <v>0</v>
      </c>
      <c r="BH273" s="8">
        <v>0</v>
      </c>
      <c r="BI273" s="8">
        <v>0</v>
      </c>
      <c r="BJ273" s="14">
        <v>0</v>
      </c>
      <c r="BK273" s="14">
        <v>0</v>
      </c>
      <c r="BL273" s="14">
        <v>0</v>
      </c>
      <c r="BM273" s="14">
        <v>0</v>
      </c>
      <c r="BN273" s="8">
        <f t="shared" si="347"/>
        <v>0</v>
      </c>
      <c r="BO273" s="8">
        <f t="shared" si="349"/>
        <v>0</v>
      </c>
    </row>
    <row r="274" spans="1:67" ht="19.5" customHeight="1">
      <c r="A274" s="10">
        <f t="shared" si="352"/>
        <v>273</v>
      </c>
      <c r="B274" s="6">
        <v>93000</v>
      </c>
      <c r="C274" s="6" t="s">
        <v>379</v>
      </c>
      <c r="D274" s="29" t="s">
        <v>130</v>
      </c>
      <c r="E274" s="11" t="s">
        <v>369</v>
      </c>
      <c r="F274" s="45">
        <v>0</v>
      </c>
      <c r="G274" s="39" t="s">
        <v>379</v>
      </c>
      <c r="H274" s="48">
        <v>0</v>
      </c>
      <c r="I274" s="6">
        <v>0</v>
      </c>
      <c r="J274" s="8">
        <v>0</v>
      </c>
      <c r="K274" s="24" t="s">
        <v>115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8">
        <v>0</v>
      </c>
      <c r="R274" s="8">
        <v>0</v>
      </c>
      <c r="S274" s="8">
        <v>0</v>
      </c>
      <c r="T274" s="8">
        <v>0</v>
      </c>
      <c r="U274" s="8">
        <v>0</v>
      </c>
      <c r="V274" s="8">
        <v>0</v>
      </c>
      <c r="W274" s="8">
        <v>0</v>
      </c>
      <c r="X274" s="8">
        <v>0</v>
      </c>
      <c r="Y274" s="8">
        <v>0</v>
      </c>
      <c r="Z274" s="8">
        <v>0</v>
      </c>
      <c r="AA274" s="8">
        <v>0</v>
      </c>
      <c r="AB274" s="8">
        <v>0</v>
      </c>
      <c r="AC274" s="8">
        <v>0</v>
      </c>
      <c r="AD274" s="8">
        <v>0</v>
      </c>
      <c r="AE274" s="8">
        <v>0</v>
      </c>
      <c r="AF274" s="8">
        <v>0</v>
      </c>
      <c r="AG274" s="8">
        <v>0</v>
      </c>
      <c r="AH274" s="8">
        <v>0</v>
      </c>
      <c r="AI274" s="8">
        <v>0</v>
      </c>
      <c r="AJ274" s="8">
        <v>0</v>
      </c>
      <c r="AK274" s="8">
        <v>0</v>
      </c>
      <c r="AL274" s="8">
        <v>0</v>
      </c>
      <c r="AM274" s="8">
        <v>0</v>
      </c>
      <c r="AN274" s="8">
        <v>0</v>
      </c>
      <c r="AO274" s="8">
        <v>0</v>
      </c>
      <c r="AP274" s="8">
        <v>0</v>
      </c>
      <c r="AQ274" s="8">
        <v>0</v>
      </c>
      <c r="AR274" s="8">
        <v>0</v>
      </c>
      <c r="AS274" s="8">
        <v>0</v>
      </c>
      <c r="AT274" s="8">
        <v>0</v>
      </c>
      <c r="AU274" s="8">
        <v>0</v>
      </c>
      <c r="AV274" s="8">
        <v>0</v>
      </c>
      <c r="AW274" s="8">
        <v>0</v>
      </c>
      <c r="AX274" s="8">
        <v>0</v>
      </c>
      <c r="AY274" s="8">
        <v>0</v>
      </c>
      <c r="AZ274" s="8">
        <v>0</v>
      </c>
      <c r="BA274" s="8">
        <v>0</v>
      </c>
      <c r="BB274" s="8">
        <v>0</v>
      </c>
      <c r="BC274" s="8">
        <v>0</v>
      </c>
      <c r="BD274" s="8">
        <v>0</v>
      </c>
      <c r="BE274" s="8">
        <v>0</v>
      </c>
      <c r="BF274" s="8">
        <v>0</v>
      </c>
      <c r="BG274" s="8">
        <v>0</v>
      </c>
      <c r="BH274" s="8">
        <v>0</v>
      </c>
      <c r="BI274" s="8">
        <v>0</v>
      </c>
      <c r="BJ274" s="14">
        <v>0</v>
      </c>
      <c r="BK274" s="14">
        <v>0</v>
      </c>
      <c r="BL274" s="14">
        <v>0</v>
      </c>
      <c r="BM274" s="14">
        <v>0</v>
      </c>
      <c r="BN274" s="8">
        <f t="shared" si="347"/>
        <v>0</v>
      </c>
      <c r="BO274" s="8">
        <f t="shared" si="349"/>
        <v>0</v>
      </c>
    </row>
    <row r="275" spans="1:67" ht="19.5" customHeight="1">
      <c r="A275" s="10">
        <f t="shared" si="352"/>
        <v>274</v>
      </c>
      <c r="B275" s="23">
        <v>96372</v>
      </c>
      <c r="C275" s="6">
        <v>5109637200</v>
      </c>
      <c r="D275" s="30" t="s">
        <v>231</v>
      </c>
      <c r="E275" s="11" t="s">
        <v>369</v>
      </c>
      <c r="F275" s="45">
        <v>24</v>
      </c>
      <c r="G275" s="6">
        <v>510</v>
      </c>
      <c r="H275" s="48">
        <v>0</v>
      </c>
      <c r="I275" s="6">
        <v>0</v>
      </c>
      <c r="J275" s="8">
        <f t="shared" si="314"/>
        <v>20.683</v>
      </c>
      <c r="K275" s="24" t="s">
        <v>115</v>
      </c>
      <c r="L275" s="3">
        <v>15.91</v>
      </c>
      <c r="M275" s="3">
        <v>18.75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8">
        <v>0</v>
      </c>
      <c r="Y275" s="8">
        <v>0</v>
      </c>
      <c r="Z275" s="8">
        <v>0</v>
      </c>
      <c r="AA275" s="8">
        <v>0</v>
      </c>
      <c r="AB275" s="8">
        <v>0</v>
      </c>
      <c r="AC275" s="8">
        <v>0</v>
      </c>
      <c r="AD275" s="8">
        <v>0</v>
      </c>
      <c r="AE275" s="8">
        <v>0</v>
      </c>
      <c r="AF275" s="8">
        <v>0</v>
      </c>
      <c r="AG275" s="8">
        <v>0</v>
      </c>
      <c r="AH275" s="8">
        <v>0</v>
      </c>
      <c r="AI275" s="8">
        <v>0</v>
      </c>
      <c r="AJ275" s="8">
        <v>0</v>
      </c>
      <c r="AK275" s="8">
        <v>0</v>
      </c>
      <c r="AL275" s="8">
        <v>0</v>
      </c>
      <c r="AM275" s="8">
        <v>0</v>
      </c>
      <c r="AN275" s="8">
        <v>0</v>
      </c>
      <c r="AO275" s="8">
        <v>0</v>
      </c>
      <c r="AP275" s="8">
        <v>0</v>
      </c>
      <c r="AQ275" s="8">
        <v>0</v>
      </c>
      <c r="AR275" s="8">
        <v>0</v>
      </c>
      <c r="AS275" s="8">
        <v>0</v>
      </c>
      <c r="AT275" s="8">
        <v>0</v>
      </c>
      <c r="AU275" s="8">
        <v>0</v>
      </c>
      <c r="AV275" s="8">
        <v>0</v>
      </c>
      <c r="AW275" s="8">
        <v>0</v>
      </c>
      <c r="AX275" s="8">
        <v>0</v>
      </c>
      <c r="AY275" s="8">
        <v>0</v>
      </c>
      <c r="AZ275" s="8">
        <v>0</v>
      </c>
      <c r="BA275" s="8">
        <v>0</v>
      </c>
      <c r="BB275" s="8">
        <v>0</v>
      </c>
      <c r="BC275" s="8">
        <v>0</v>
      </c>
      <c r="BD275" s="8">
        <v>0</v>
      </c>
      <c r="BE275" s="8">
        <v>0</v>
      </c>
      <c r="BF275" s="8">
        <v>0</v>
      </c>
      <c r="BG275" s="8">
        <v>0</v>
      </c>
      <c r="BH275" s="8">
        <v>0</v>
      </c>
      <c r="BI275" s="8">
        <v>0</v>
      </c>
      <c r="BJ275" s="14">
        <v>0</v>
      </c>
      <c r="BK275" s="14">
        <v>0</v>
      </c>
      <c r="BL275" s="14">
        <v>0</v>
      </c>
      <c r="BM275" s="14">
        <v>0</v>
      </c>
      <c r="BN275" s="8">
        <f t="shared" si="347"/>
        <v>0</v>
      </c>
      <c r="BO275" s="8">
        <f t="shared" si="349"/>
        <v>0</v>
      </c>
    </row>
    <row r="276" spans="1:67" ht="19.5" customHeight="1">
      <c r="A276" s="10">
        <f t="shared" si="352"/>
        <v>275</v>
      </c>
      <c r="B276" s="23">
        <v>93923</v>
      </c>
      <c r="C276" s="6">
        <v>5109392300</v>
      </c>
      <c r="D276" s="30" t="s">
        <v>232</v>
      </c>
      <c r="E276" s="11" t="s">
        <v>369</v>
      </c>
      <c r="F276" s="45">
        <v>436.29</v>
      </c>
      <c r="G276" s="23">
        <v>510</v>
      </c>
      <c r="H276" s="48">
        <v>0</v>
      </c>
      <c r="I276" s="6">
        <v>0</v>
      </c>
      <c r="J276" s="8">
        <f t="shared" si="314"/>
        <v>202.34500000000003</v>
      </c>
      <c r="K276" s="24" t="s">
        <v>115</v>
      </c>
      <c r="L276" s="3">
        <v>155.65</v>
      </c>
      <c r="M276" s="3">
        <v>97.36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8">
        <v>0</v>
      </c>
      <c r="T276" s="8">
        <v>0</v>
      </c>
      <c r="U276" s="8">
        <v>0</v>
      </c>
      <c r="V276" s="8">
        <v>0</v>
      </c>
      <c r="W276" s="8">
        <v>0</v>
      </c>
      <c r="X276" s="8">
        <v>0</v>
      </c>
      <c r="Y276" s="8">
        <v>0</v>
      </c>
      <c r="Z276" s="8">
        <v>0</v>
      </c>
      <c r="AA276" s="8">
        <v>0</v>
      </c>
      <c r="AB276" s="8">
        <v>0</v>
      </c>
      <c r="AC276" s="8">
        <v>0</v>
      </c>
      <c r="AD276" s="8">
        <v>0</v>
      </c>
      <c r="AE276" s="8">
        <v>0</v>
      </c>
      <c r="AF276" s="8">
        <v>0</v>
      </c>
      <c r="AG276" s="8">
        <v>0</v>
      </c>
      <c r="AH276" s="8">
        <v>0</v>
      </c>
      <c r="AI276" s="8">
        <v>0</v>
      </c>
      <c r="AJ276" s="8">
        <v>0</v>
      </c>
      <c r="AK276" s="8">
        <v>0</v>
      </c>
      <c r="AL276" s="8">
        <v>0</v>
      </c>
      <c r="AM276" s="8">
        <v>0</v>
      </c>
      <c r="AN276" s="8">
        <v>0</v>
      </c>
      <c r="AO276" s="8">
        <v>0</v>
      </c>
      <c r="AP276" s="8">
        <v>0</v>
      </c>
      <c r="AQ276" s="8">
        <v>0</v>
      </c>
      <c r="AR276" s="8">
        <v>0</v>
      </c>
      <c r="AS276" s="8">
        <v>0</v>
      </c>
      <c r="AT276" s="8">
        <v>0</v>
      </c>
      <c r="AU276" s="8">
        <v>0</v>
      </c>
      <c r="AV276" s="8">
        <v>0</v>
      </c>
      <c r="AW276" s="8">
        <v>0</v>
      </c>
      <c r="AX276" s="8">
        <v>0</v>
      </c>
      <c r="AY276" s="8">
        <v>0</v>
      </c>
      <c r="AZ276" s="8">
        <v>0</v>
      </c>
      <c r="BA276" s="8">
        <v>0</v>
      </c>
      <c r="BB276" s="8">
        <v>0</v>
      </c>
      <c r="BC276" s="8">
        <v>0</v>
      </c>
      <c r="BD276" s="8">
        <v>0</v>
      </c>
      <c r="BE276" s="8">
        <v>0</v>
      </c>
      <c r="BF276" s="8">
        <v>0</v>
      </c>
      <c r="BG276" s="8">
        <v>0</v>
      </c>
      <c r="BH276" s="8">
        <v>0</v>
      </c>
      <c r="BI276" s="8">
        <v>0</v>
      </c>
      <c r="BJ276" s="14">
        <v>0</v>
      </c>
      <c r="BK276" s="14">
        <v>0</v>
      </c>
      <c r="BL276" s="14">
        <v>0</v>
      </c>
      <c r="BM276" s="14">
        <v>0</v>
      </c>
      <c r="BN276" s="8">
        <f t="shared" si="347"/>
        <v>0</v>
      </c>
      <c r="BO276" s="8">
        <f t="shared" si="349"/>
        <v>0</v>
      </c>
    </row>
    <row r="277" spans="1:67" ht="19.5" customHeight="1">
      <c r="A277" s="10">
        <f t="shared" si="352"/>
        <v>276</v>
      </c>
      <c r="B277" s="23">
        <v>95910</v>
      </c>
      <c r="C277" s="6">
        <v>5109591000</v>
      </c>
      <c r="D277" s="29" t="s">
        <v>45</v>
      </c>
      <c r="E277" s="11" t="s">
        <v>369</v>
      </c>
      <c r="F277" s="45">
        <v>840.18</v>
      </c>
      <c r="G277" s="23">
        <v>510</v>
      </c>
      <c r="H277" s="48">
        <v>0</v>
      </c>
      <c r="I277" s="6">
        <v>0</v>
      </c>
      <c r="J277" s="8">
        <f t="shared" si="314"/>
        <v>280.267</v>
      </c>
      <c r="K277" s="24" t="s">
        <v>115</v>
      </c>
      <c r="L277" s="3">
        <v>215.59</v>
      </c>
      <c r="M277" s="3">
        <v>160.95</v>
      </c>
      <c r="N277" s="8">
        <v>0</v>
      </c>
      <c r="O277" s="8">
        <v>0</v>
      </c>
      <c r="P277" s="8">
        <v>0</v>
      </c>
      <c r="Q277" s="8">
        <v>0</v>
      </c>
      <c r="R277" s="8">
        <v>0</v>
      </c>
      <c r="S277" s="8">
        <v>0</v>
      </c>
      <c r="T277" s="8">
        <v>0</v>
      </c>
      <c r="U277" s="8">
        <v>0</v>
      </c>
      <c r="V277" s="8">
        <v>0</v>
      </c>
      <c r="W277" s="8">
        <v>0</v>
      </c>
      <c r="X277" s="8">
        <v>0</v>
      </c>
      <c r="Y277" s="8">
        <v>0</v>
      </c>
      <c r="Z277" s="8">
        <v>0</v>
      </c>
      <c r="AA277" s="8">
        <v>0</v>
      </c>
      <c r="AB277" s="8">
        <v>0</v>
      </c>
      <c r="AC277" s="8">
        <v>0</v>
      </c>
      <c r="AD277" s="8">
        <v>0</v>
      </c>
      <c r="AE277" s="8">
        <v>0</v>
      </c>
      <c r="AF277" s="8">
        <v>0</v>
      </c>
      <c r="AG277" s="8">
        <v>0</v>
      </c>
      <c r="AH277" s="8">
        <v>0</v>
      </c>
      <c r="AI277" s="8">
        <v>0</v>
      </c>
      <c r="AJ277" s="8">
        <v>0</v>
      </c>
      <c r="AK277" s="8">
        <v>0</v>
      </c>
      <c r="AL277" s="8">
        <v>0</v>
      </c>
      <c r="AM277" s="8">
        <v>0</v>
      </c>
      <c r="AN277" s="8">
        <v>0</v>
      </c>
      <c r="AO277" s="8">
        <v>0</v>
      </c>
      <c r="AP277" s="8">
        <v>0</v>
      </c>
      <c r="AQ277" s="8">
        <v>0</v>
      </c>
      <c r="AR277" s="8">
        <v>0</v>
      </c>
      <c r="AS277" s="8">
        <v>0</v>
      </c>
      <c r="AT277" s="8">
        <v>0</v>
      </c>
      <c r="AU277" s="8">
        <v>0</v>
      </c>
      <c r="AV277" s="8">
        <v>0</v>
      </c>
      <c r="AW277" s="8">
        <v>0</v>
      </c>
      <c r="AX277" s="8">
        <v>0</v>
      </c>
      <c r="AY277" s="8">
        <v>0</v>
      </c>
      <c r="AZ277" s="8">
        <v>0</v>
      </c>
      <c r="BA277" s="8">
        <v>0</v>
      </c>
      <c r="BB277" s="8">
        <v>0</v>
      </c>
      <c r="BC277" s="8">
        <v>0</v>
      </c>
      <c r="BD277" s="8">
        <v>0</v>
      </c>
      <c r="BE277" s="8">
        <v>0</v>
      </c>
      <c r="BF277" s="8">
        <v>0</v>
      </c>
      <c r="BG277" s="8">
        <v>0</v>
      </c>
      <c r="BH277" s="8">
        <v>0</v>
      </c>
      <c r="BI277" s="8">
        <v>0</v>
      </c>
      <c r="BJ277" s="14">
        <v>0</v>
      </c>
      <c r="BK277" s="14">
        <v>0</v>
      </c>
      <c r="BL277" s="14">
        <v>0</v>
      </c>
      <c r="BM277" s="14">
        <v>0</v>
      </c>
      <c r="BN277" s="8">
        <f t="shared" si="347"/>
        <v>0</v>
      </c>
      <c r="BO277" s="8">
        <f t="shared" si="349"/>
        <v>0</v>
      </c>
    </row>
    <row r="278" spans="1:67" ht="19.5" customHeight="1">
      <c r="A278" s="10">
        <f t="shared" si="352"/>
        <v>277</v>
      </c>
      <c r="B278" s="6">
        <v>29580</v>
      </c>
      <c r="C278" s="11" t="s">
        <v>394</v>
      </c>
      <c r="D278" s="29" t="s">
        <v>107</v>
      </c>
      <c r="E278" s="11" t="s">
        <v>369</v>
      </c>
      <c r="F278" s="45">
        <v>385</v>
      </c>
      <c r="G278" s="23">
        <v>510</v>
      </c>
      <c r="H278" s="48">
        <v>0</v>
      </c>
      <c r="I278" s="6">
        <v>0</v>
      </c>
      <c r="J278" s="8">
        <f t="shared" si="314"/>
        <v>95.36800000000001</v>
      </c>
      <c r="K278" s="24" t="s">
        <v>115</v>
      </c>
      <c r="L278" s="4">
        <v>73.36</v>
      </c>
      <c r="M278" s="3">
        <v>27.18</v>
      </c>
      <c r="N278" s="8">
        <v>0</v>
      </c>
      <c r="O278" s="8">
        <v>0</v>
      </c>
      <c r="P278" s="8">
        <v>0</v>
      </c>
      <c r="Q278" s="8">
        <v>0</v>
      </c>
      <c r="R278" s="8">
        <v>0</v>
      </c>
      <c r="S278" s="8">
        <v>0</v>
      </c>
      <c r="T278" s="8">
        <v>0</v>
      </c>
      <c r="U278" s="8">
        <v>0</v>
      </c>
      <c r="V278" s="8">
        <v>0</v>
      </c>
      <c r="W278" s="8">
        <v>0</v>
      </c>
      <c r="X278" s="8">
        <v>0</v>
      </c>
      <c r="Y278" s="8">
        <v>0</v>
      </c>
      <c r="Z278" s="8">
        <v>0</v>
      </c>
      <c r="AA278" s="8">
        <v>0</v>
      </c>
      <c r="AB278" s="8">
        <v>0</v>
      </c>
      <c r="AC278" s="8">
        <v>0</v>
      </c>
      <c r="AD278" s="8">
        <v>0</v>
      </c>
      <c r="AE278" s="8">
        <v>0</v>
      </c>
      <c r="AF278" s="8">
        <v>0</v>
      </c>
      <c r="AG278" s="8">
        <v>0</v>
      </c>
      <c r="AH278" s="8">
        <v>0</v>
      </c>
      <c r="AI278" s="8">
        <v>0</v>
      </c>
      <c r="AJ278" s="8">
        <v>0</v>
      </c>
      <c r="AK278" s="8">
        <v>0</v>
      </c>
      <c r="AL278" s="8">
        <v>0</v>
      </c>
      <c r="AM278" s="8">
        <v>0</v>
      </c>
      <c r="AN278" s="8">
        <v>0</v>
      </c>
      <c r="AO278" s="8">
        <v>0</v>
      </c>
      <c r="AP278" s="8">
        <v>0</v>
      </c>
      <c r="AQ278" s="8">
        <v>0</v>
      </c>
      <c r="AR278" s="8">
        <v>0</v>
      </c>
      <c r="AS278" s="8">
        <v>0</v>
      </c>
      <c r="AT278" s="8">
        <v>0</v>
      </c>
      <c r="AU278" s="8">
        <v>0</v>
      </c>
      <c r="AV278" s="8">
        <v>0</v>
      </c>
      <c r="AW278" s="8">
        <v>0</v>
      </c>
      <c r="AX278" s="8">
        <v>0</v>
      </c>
      <c r="AY278" s="8">
        <v>0</v>
      </c>
      <c r="AZ278" s="8">
        <v>0</v>
      </c>
      <c r="BA278" s="8">
        <v>0</v>
      </c>
      <c r="BB278" s="8">
        <v>0</v>
      </c>
      <c r="BC278" s="8">
        <v>0</v>
      </c>
      <c r="BD278" s="8">
        <v>0</v>
      </c>
      <c r="BE278" s="8">
        <v>0</v>
      </c>
      <c r="BF278" s="8">
        <v>0</v>
      </c>
      <c r="BG278" s="8">
        <v>0</v>
      </c>
      <c r="BH278" s="8">
        <v>0</v>
      </c>
      <c r="BI278" s="8">
        <v>0</v>
      </c>
      <c r="BJ278" s="14">
        <v>0</v>
      </c>
      <c r="BK278" s="14">
        <v>0</v>
      </c>
      <c r="BL278" s="14">
        <v>0</v>
      </c>
      <c r="BM278" s="14">
        <v>0</v>
      </c>
      <c r="BN278" s="8">
        <f t="shared" si="347"/>
        <v>0</v>
      </c>
      <c r="BO278" s="8">
        <f t="shared" si="349"/>
        <v>0</v>
      </c>
    </row>
    <row r="279" spans="1:67" ht="19.5" customHeight="1">
      <c r="A279" s="10">
        <f t="shared" si="352"/>
        <v>278</v>
      </c>
      <c r="B279" s="23">
        <v>93017</v>
      </c>
      <c r="C279" s="6">
        <v>4829301700</v>
      </c>
      <c r="D279" s="30" t="s">
        <v>202</v>
      </c>
      <c r="E279" s="11" t="s">
        <v>369</v>
      </c>
      <c r="F279" s="45">
        <v>840.18</v>
      </c>
      <c r="G279" s="23">
        <v>482</v>
      </c>
      <c r="H279" s="48">
        <v>0</v>
      </c>
      <c r="I279" s="6">
        <v>0</v>
      </c>
      <c r="J279" s="8">
        <f t="shared" si="314"/>
        <v>53.455999999999996</v>
      </c>
      <c r="K279" s="24" t="s">
        <v>115</v>
      </c>
      <c r="L279" s="3">
        <v>41.12</v>
      </c>
      <c r="M279" s="3">
        <v>52.5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v>0</v>
      </c>
      <c r="AA279" s="8">
        <v>0</v>
      </c>
      <c r="AB279" s="8">
        <v>0</v>
      </c>
      <c r="AC279" s="8">
        <v>0</v>
      </c>
      <c r="AD279" s="8">
        <v>0</v>
      </c>
      <c r="AE279" s="8">
        <v>0</v>
      </c>
      <c r="AF279" s="8">
        <v>0</v>
      </c>
      <c r="AG279" s="8">
        <v>0</v>
      </c>
      <c r="AH279" s="8">
        <v>0</v>
      </c>
      <c r="AI279" s="8">
        <v>0</v>
      </c>
      <c r="AJ279" s="8">
        <v>0</v>
      </c>
      <c r="AK279" s="8">
        <v>0</v>
      </c>
      <c r="AL279" s="8">
        <v>0</v>
      </c>
      <c r="AM279" s="8">
        <v>0</v>
      </c>
      <c r="AN279" s="8">
        <v>0</v>
      </c>
      <c r="AO279" s="8">
        <v>0</v>
      </c>
      <c r="AP279" s="8">
        <v>0</v>
      </c>
      <c r="AQ279" s="8">
        <v>0</v>
      </c>
      <c r="AR279" s="8">
        <v>0</v>
      </c>
      <c r="AS279" s="8">
        <v>0</v>
      </c>
      <c r="AT279" s="8">
        <v>0</v>
      </c>
      <c r="AU279" s="8">
        <v>0</v>
      </c>
      <c r="AV279" s="8">
        <v>0</v>
      </c>
      <c r="AW279" s="8">
        <v>0</v>
      </c>
      <c r="AX279" s="8">
        <v>0</v>
      </c>
      <c r="AY279" s="8">
        <v>0</v>
      </c>
      <c r="AZ279" s="8">
        <v>0</v>
      </c>
      <c r="BA279" s="8">
        <v>0</v>
      </c>
      <c r="BB279" s="8">
        <v>0</v>
      </c>
      <c r="BC279" s="8">
        <v>0</v>
      </c>
      <c r="BD279" s="8">
        <v>0</v>
      </c>
      <c r="BE279" s="8">
        <v>0</v>
      </c>
      <c r="BF279" s="8">
        <v>0</v>
      </c>
      <c r="BG279" s="8">
        <v>0</v>
      </c>
      <c r="BH279" s="8">
        <v>0</v>
      </c>
      <c r="BI279" s="8">
        <v>0</v>
      </c>
      <c r="BJ279" s="14">
        <v>0</v>
      </c>
      <c r="BK279" s="14">
        <v>0</v>
      </c>
      <c r="BL279" s="14">
        <v>0</v>
      </c>
      <c r="BM279" s="14">
        <v>0</v>
      </c>
      <c r="BN279" s="8">
        <f t="shared" si="347"/>
        <v>0</v>
      </c>
      <c r="BO279" s="8">
        <f t="shared" si="349"/>
        <v>0</v>
      </c>
    </row>
    <row r="280" spans="1:67" ht="19.5" customHeight="1">
      <c r="A280" s="10">
        <f t="shared" si="352"/>
        <v>279</v>
      </c>
      <c r="B280" s="6">
        <v>95909</v>
      </c>
      <c r="C280" s="6">
        <v>5109590900</v>
      </c>
      <c r="D280" s="29" t="s">
        <v>44</v>
      </c>
      <c r="E280" s="11" t="s">
        <v>369</v>
      </c>
      <c r="F280" s="45">
        <v>840.18</v>
      </c>
      <c r="G280" s="6">
        <v>510</v>
      </c>
      <c r="H280" s="48">
        <v>0</v>
      </c>
      <c r="I280" s="6">
        <v>0</v>
      </c>
      <c r="J280" s="8">
        <f t="shared" si="314"/>
        <v>213.55100000000002</v>
      </c>
      <c r="K280" s="24" t="s">
        <v>115</v>
      </c>
      <c r="L280" s="4">
        <v>164.27</v>
      </c>
      <c r="M280" s="3">
        <v>122.34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0</v>
      </c>
      <c r="T280" s="8">
        <v>0</v>
      </c>
      <c r="U280" s="8">
        <v>0</v>
      </c>
      <c r="V280" s="8">
        <v>0</v>
      </c>
      <c r="W280" s="8">
        <v>0</v>
      </c>
      <c r="X280" s="8">
        <v>0</v>
      </c>
      <c r="Y280" s="8">
        <v>0</v>
      </c>
      <c r="Z280" s="8">
        <v>0</v>
      </c>
      <c r="AA280" s="8">
        <v>0</v>
      </c>
      <c r="AB280" s="8">
        <v>0</v>
      </c>
      <c r="AC280" s="8">
        <v>0</v>
      </c>
      <c r="AD280" s="8">
        <v>0</v>
      </c>
      <c r="AE280" s="8">
        <v>0</v>
      </c>
      <c r="AF280" s="8">
        <v>0</v>
      </c>
      <c r="AG280" s="8">
        <v>0</v>
      </c>
      <c r="AH280" s="8">
        <v>0</v>
      </c>
      <c r="AI280" s="8">
        <v>0</v>
      </c>
      <c r="AJ280" s="8">
        <v>0</v>
      </c>
      <c r="AK280" s="8">
        <v>0</v>
      </c>
      <c r="AL280" s="8">
        <v>0</v>
      </c>
      <c r="AM280" s="8">
        <v>0</v>
      </c>
      <c r="AN280" s="8">
        <v>0</v>
      </c>
      <c r="AO280" s="8">
        <v>0</v>
      </c>
      <c r="AP280" s="8">
        <v>0</v>
      </c>
      <c r="AQ280" s="8">
        <v>0</v>
      </c>
      <c r="AR280" s="8">
        <v>0</v>
      </c>
      <c r="AS280" s="8">
        <v>0</v>
      </c>
      <c r="AT280" s="8">
        <v>0</v>
      </c>
      <c r="AU280" s="8">
        <v>0</v>
      </c>
      <c r="AV280" s="8">
        <v>0</v>
      </c>
      <c r="AW280" s="8">
        <v>0</v>
      </c>
      <c r="AX280" s="8">
        <v>0</v>
      </c>
      <c r="AY280" s="8">
        <v>0</v>
      </c>
      <c r="AZ280" s="8">
        <v>0</v>
      </c>
      <c r="BA280" s="8">
        <v>0</v>
      </c>
      <c r="BB280" s="8">
        <v>0</v>
      </c>
      <c r="BC280" s="8">
        <v>0</v>
      </c>
      <c r="BD280" s="8">
        <v>0</v>
      </c>
      <c r="BE280" s="8">
        <v>0</v>
      </c>
      <c r="BF280" s="8">
        <v>0</v>
      </c>
      <c r="BG280" s="8">
        <v>0</v>
      </c>
      <c r="BH280" s="8">
        <v>0</v>
      </c>
      <c r="BI280" s="8">
        <v>0</v>
      </c>
      <c r="BJ280" s="14">
        <v>0</v>
      </c>
      <c r="BK280" s="14">
        <v>0</v>
      </c>
      <c r="BL280" s="14">
        <v>0</v>
      </c>
      <c r="BM280" s="14">
        <v>0</v>
      </c>
      <c r="BN280" s="8">
        <f t="shared" si="347"/>
        <v>0</v>
      </c>
      <c r="BO280" s="8">
        <f t="shared" si="349"/>
        <v>0</v>
      </c>
    </row>
    <row r="281" spans="1:67" ht="19.5" customHeight="1">
      <c r="A281" s="10">
        <f t="shared" si="352"/>
        <v>280</v>
      </c>
      <c r="B281" s="23">
        <v>97597</v>
      </c>
      <c r="C281" s="53">
        <v>5109759700</v>
      </c>
      <c r="D281" s="30" t="s">
        <v>233</v>
      </c>
      <c r="E281" s="11" t="s">
        <v>369</v>
      </c>
      <c r="F281" s="45">
        <v>541.74</v>
      </c>
      <c r="G281" s="6">
        <v>510</v>
      </c>
      <c r="H281" s="48">
        <v>0</v>
      </c>
      <c r="I281" s="6">
        <v>0</v>
      </c>
      <c r="J281" s="8">
        <f t="shared" si="314"/>
        <v>151.32000000000002</v>
      </c>
      <c r="K281" s="24" t="s">
        <v>115</v>
      </c>
      <c r="L281" s="3">
        <v>116.4</v>
      </c>
      <c r="M281" s="3">
        <v>42.11</v>
      </c>
      <c r="N281" s="8">
        <v>0</v>
      </c>
      <c r="O281" s="8">
        <v>0</v>
      </c>
      <c r="P281" s="8">
        <v>0</v>
      </c>
      <c r="Q281" s="8">
        <v>0</v>
      </c>
      <c r="R281" s="8">
        <v>0</v>
      </c>
      <c r="S281" s="8">
        <v>0</v>
      </c>
      <c r="T281" s="8">
        <v>0</v>
      </c>
      <c r="U281" s="8">
        <v>0</v>
      </c>
      <c r="V281" s="8">
        <v>0</v>
      </c>
      <c r="W281" s="8">
        <v>0</v>
      </c>
      <c r="X281" s="8">
        <v>0</v>
      </c>
      <c r="Y281" s="8">
        <v>0</v>
      </c>
      <c r="Z281" s="8">
        <v>0</v>
      </c>
      <c r="AA281" s="8">
        <v>0</v>
      </c>
      <c r="AB281" s="8">
        <v>0</v>
      </c>
      <c r="AC281" s="8">
        <v>0</v>
      </c>
      <c r="AD281" s="8">
        <v>0</v>
      </c>
      <c r="AE281" s="8">
        <v>0</v>
      </c>
      <c r="AF281" s="8">
        <v>0</v>
      </c>
      <c r="AG281" s="8">
        <v>0</v>
      </c>
      <c r="AH281" s="8">
        <v>0</v>
      </c>
      <c r="AI281" s="8">
        <v>0</v>
      </c>
      <c r="AJ281" s="8">
        <v>0</v>
      </c>
      <c r="AK281" s="8">
        <v>0</v>
      </c>
      <c r="AL281" s="8">
        <v>0</v>
      </c>
      <c r="AM281" s="8">
        <v>0</v>
      </c>
      <c r="AN281" s="8">
        <v>0</v>
      </c>
      <c r="AO281" s="8">
        <v>0</v>
      </c>
      <c r="AP281" s="8">
        <v>0</v>
      </c>
      <c r="AQ281" s="8">
        <v>0</v>
      </c>
      <c r="AR281" s="8">
        <v>0</v>
      </c>
      <c r="AS281" s="8">
        <v>0</v>
      </c>
      <c r="AT281" s="8">
        <v>0</v>
      </c>
      <c r="AU281" s="8">
        <v>0</v>
      </c>
      <c r="AV281" s="8">
        <v>0</v>
      </c>
      <c r="AW281" s="8">
        <v>0</v>
      </c>
      <c r="AX281" s="8">
        <v>0</v>
      </c>
      <c r="AY281" s="8">
        <v>0</v>
      </c>
      <c r="AZ281" s="8">
        <v>0</v>
      </c>
      <c r="BA281" s="8">
        <v>0</v>
      </c>
      <c r="BB281" s="8">
        <v>0</v>
      </c>
      <c r="BC281" s="8">
        <v>0</v>
      </c>
      <c r="BD281" s="8">
        <v>0</v>
      </c>
      <c r="BE281" s="8">
        <v>0</v>
      </c>
      <c r="BF281" s="8">
        <v>0</v>
      </c>
      <c r="BG281" s="8">
        <v>0</v>
      </c>
      <c r="BH281" s="8">
        <v>0</v>
      </c>
      <c r="BI281" s="8">
        <v>0</v>
      </c>
      <c r="BJ281" s="14">
        <v>0</v>
      </c>
      <c r="BK281" s="14">
        <v>0</v>
      </c>
      <c r="BL281" s="14">
        <v>0</v>
      </c>
      <c r="BM281" s="14">
        <v>0</v>
      </c>
      <c r="BN281" s="8">
        <f t="shared" si="347"/>
        <v>0</v>
      </c>
      <c r="BO281" s="8">
        <f t="shared" si="349"/>
        <v>0</v>
      </c>
    </row>
    <row r="282" spans="1:67" ht="19.5" customHeight="1">
      <c r="A282" s="10">
        <f t="shared" si="352"/>
        <v>281</v>
      </c>
      <c r="B282" s="23">
        <v>93005</v>
      </c>
      <c r="C282" s="23">
        <v>5109300500</v>
      </c>
      <c r="D282" s="30" t="s">
        <v>204</v>
      </c>
      <c r="E282" s="11" t="s">
        <v>369</v>
      </c>
      <c r="F282" s="45">
        <v>172.44</v>
      </c>
      <c r="G282" s="6">
        <v>510</v>
      </c>
      <c r="H282" s="48">
        <v>0</v>
      </c>
      <c r="I282" s="6">
        <v>0</v>
      </c>
      <c r="J282" s="8">
        <f t="shared" si="314"/>
        <v>9.932</v>
      </c>
      <c r="K282" s="24" t="s">
        <v>115</v>
      </c>
      <c r="L282" s="4">
        <v>7.64</v>
      </c>
      <c r="M282" s="3">
        <v>16.4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8">
        <v>0</v>
      </c>
      <c r="X282" s="8">
        <v>0</v>
      </c>
      <c r="Y282" s="8">
        <v>0</v>
      </c>
      <c r="Z282" s="8">
        <v>0</v>
      </c>
      <c r="AA282" s="8">
        <v>0</v>
      </c>
      <c r="AB282" s="8">
        <v>0</v>
      </c>
      <c r="AC282" s="8">
        <v>0</v>
      </c>
      <c r="AD282" s="8">
        <v>0</v>
      </c>
      <c r="AE282" s="8">
        <v>0</v>
      </c>
      <c r="AF282" s="8">
        <v>0</v>
      </c>
      <c r="AG282" s="8">
        <v>0</v>
      </c>
      <c r="AH282" s="8">
        <v>0</v>
      </c>
      <c r="AI282" s="8">
        <v>0</v>
      </c>
      <c r="AJ282" s="8">
        <v>0</v>
      </c>
      <c r="AK282" s="8">
        <v>0</v>
      </c>
      <c r="AL282" s="8">
        <v>0</v>
      </c>
      <c r="AM282" s="8">
        <v>0</v>
      </c>
      <c r="AN282" s="8">
        <v>0</v>
      </c>
      <c r="AO282" s="8">
        <v>0</v>
      </c>
      <c r="AP282" s="8">
        <v>0</v>
      </c>
      <c r="AQ282" s="8">
        <v>0</v>
      </c>
      <c r="AR282" s="8">
        <v>0</v>
      </c>
      <c r="AS282" s="8">
        <v>0</v>
      </c>
      <c r="AT282" s="8">
        <v>0</v>
      </c>
      <c r="AU282" s="8">
        <v>0</v>
      </c>
      <c r="AV282" s="8">
        <v>0</v>
      </c>
      <c r="AW282" s="8">
        <v>0</v>
      </c>
      <c r="AX282" s="8">
        <v>0</v>
      </c>
      <c r="AY282" s="8">
        <v>0</v>
      </c>
      <c r="AZ282" s="8">
        <v>0</v>
      </c>
      <c r="BA282" s="8">
        <v>0</v>
      </c>
      <c r="BB282" s="8">
        <v>0</v>
      </c>
      <c r="BC282" s="8">
        <v>0</v>
      </c>
      <c r="BD282" s="8">
        <v>0</v>
      </c>
      <c r="BE282" s="8">
        <v>0</v>
      </c>
      <c r="BF282" s="8">
        <v>0</v>
      </c>
      <c r="BG282" s="8">
        <v>0</v>
      </c>
      <c r="BH282" s="8">
        <v>0</v>
      </c>
      <c r="BI282" s="8">
        <v>0</v>
      </c>
      <c r="BJ282" s="14">
        <v>0</v>
      </c>
      <c r="BK282" s="14">
        <v>0</v>
      </c>
      <c r="BL282" s="14">
        <v>0</v>
      </c>
      <c r="BM282" s="14">
        <v>0</v>
      </c>
      <c r="BN282" s="8">
        <f t="shared" si="347"/>
        <v>0</v>
      </c>
      <c r="BO282" s="8">
        <f t="shared" si="349"/>
        <v>0</v>
      </c>
    </row>
    <row r="283" spans="1:67" ht="19.5" customHeight="1">
      <c r="A283" s="10">
        <f t="shared" si="352"/>
        <v>282</v>
      </c>
      <c r="B283" s="23">
        <v>97124</v>
      </c>
      <c r="C283" s="6">
        <v>4209712400</v>
      </c>
      <c r="D283" s="30" t="s">
        <v>413</v>
      </c>
      <c r="E283" s="6" t="s">
        <v>89</v>
      </c>
      <c r="F283" s="45">
        <v>102.96</v>
      </c>
      <c r="G283" s="6">
        <v>420</v>
      </c>
      <c r="H283" s="48">
        <v>0</v>
      </c>
      <c r="I283" s="6">
        <v>0</v>
      </c>
      <c r="J283" s="8">
        <f t="shared" si="314"/>
        <v>43.771</v>
      </c>
      <c r="K283" s="24" t="s">
        <v>115</v>
      </c>
      <c r="L283" s="4">
        <v>33.67</v>
      </c>
      <c r="M283" s="3">
        <v>12.55</v>
      </c>
      <c r="N283" s="8" t="str">
        <f>CONCATENATE(ROUND(16.31*1.8,2)," ",K283)</f>
        <v>29.36 Per Visit </v>
      </c>
      <c r="O283" s="8" t="str">
        <f>CONCATENATE(ROUND(L283,2)," ",K283)</f>
        <v>33.67 Per Visit </v>
      </c>
      <c r="P283" s="7" t="s">
        <v>123</v>
      </c>
      <c r="Q283" s="3" t="str">
        <f>CONCATENATE(ROUND(L283,2)," ",K283)</f>
        <v>33.67 Per Visit </v>
      </c>
      <c r="R283" s="3" t="str">
        <f>CONCATENATE(ROUND(L283*1.1,2)," ",K283)</f>
        <v>37.04 Per Visit </v>
      </c>
      <c r="S283" s="3" t="str">
        <f>CONCATENATE(ROUND(L283,2)," ",K283)</f>
        <v>33.67 Per Visit </v>
      </c>
      <c r="T283" s="4" t="s">
        <v>388</v>
      </c>
      <c r="U283" s="4" t="s">
        <v>389</v>
      </c>
      <c r="V283" s="3" t="str">
        <f>CONCATENATE(ROUND(L283,2)," ",K283)</f>
        <v>33.67 Per Visit </v>
      </c>
      <c r="W283" s="3" t="str">
        <f>CONCATENATE(ROUND(L283,2)," ",K283)</f>
        <v>33.67 Per Visit </v>
      </c>
      <c r="X283" s="3" t="str">
        <f>CONCATENATE(ROUND(L283,2)," ",K283)</f>
        <v>33.67 Per Visit </v>
      </c>
      <c r="Y283" s="4" t="s">
        <v>392</v>
      </c>
      <c r="Z283" s="3" t="str">
        <f>CONCATENATE(ROUND(L283*0.95,2)," ",K283)</f>
        <v>31.99 Per Visit </v>
      </c>
      <c r="AA283" s="3" t="str">
        <f>CONCATENATE(ROUND(L283*0.95,2)," ",K283)</f>
        <v>31.99 Per Visit </v>
      </c>
      <c r="AB283" s="3" t="str">
        <f>CONCATENATE(ROUND(L283,2)," ",K283)</f>
        <v>33.67 Per Visit </v>
      </c>
      <c r="AC283" s="3" t="str">
        <f>CONCATENATE(ROUND(L283*1.05,2)," ",K283)</f>
        <v>35.35 Per Visit </v>
      </c>
      <c r="AD283" s="3" t="str">
        <f>CONCATENATE(ROUND(L283,2)," ",K283)</f>
        <v>33.67 Per Visit </v>
      </c>
      <c r="AE283" s="3" t="str">
        <f>CONCATENATE(ROUND(L283,2)," ",K283)</f>
        <v>33.67 Per Visit </v>
      </c>
      <c r="AF283" s="3" t="str">
        <f>CONCATENATE(ROUND(L283*0.92,2)," ",K283)</f>
        <v>30.98 Per Visit </v>
      </c>
      <c r="AG283" s="3">
        <f>F283*0.7</f>
        <v>72.07199999999999</v>
      </c>
      <c r="AH283" s="4" t="s">
        <v>111</v>
      </c>
      <c r="AI283" s="4" t="s">
        <v>111</v>
      </c>
      <c r="AJ283" s="4" t="s">
        <v>363</v>
      </c>
      <c r="AK283" s="3" t="str">
        <f>CONCATENATE(ROUND(L283,2)," ",K283)</f>
        <v>33.67 Per Visit </v>
      </c>
      <c r="AL283" s="3" t="str">
        <f>CONCATENATE(ROUND(L283,2)," ",K283)</f>
        <v>33.67 Per Visit </v>
      </c>
      <c r="AM283" s="4" t="s">
        <v>124</v>
      </c>
      <c r="AN283" s="4" t="s">
        <v>124</v>
      </c>
      <c r="AO283" s="4" t="s">
        <v>118</v>
      </c>
      <c r="AP283" s="4" t="s">
        <v>119</v>
      </c>
      <c r="AQ283" s="7" t="s">
        <v>83</v>
      </c>
      <c r="AR283" s="2" t="s">
        <v>282</v>
      </c>
      <c r="AS283" s="2" t="s">
        <v>282</v>
      </c>
      <c r="AT283" s="4" t="s">
        <v>126</v>
      </c>
      <c r="AU283" s="3" t="str">
        <f>CONCATENATE(ROUND(M283*1.1,2)," ",K283)</f>
        <v>13.81 Per Visit </v>
      </c>
      <c r="AV283" s="3" t="str">
        <f>CONCATENATE(ROUND(L283,2)," ",K283)</f>
        <v>33.67 Per Visit </v>
      </c>
      <c r="AW283" s="3" t="str">
        <f>CONCATENATE(ROUND(L283*0.95,2)," ",K283)</f>
        <v>31.99 Per Visit </v>
      </c>
      <c r="AX283" s="3" t="str">
        <f>CONCATENATE(ROUND(L283*0.88,2)," ",K283)</f>
        <v>29.63 Per Visit </v>
      </c>
      <c r="AY283" s="3" t="s">
        <v>125</v>
      </c>
      <c r="AZ283" s="4" t="s">
        <v>400</v>
      </c>
      <c r="BA283" s="4" t="s">
        <v>126</v>
      </c>
      <c r="BB283" s="8">
        <v>0</v>
      </c>
      <c r="BC283" s="8">
        <v>0</v>
      </c>
      <c r="BD283" s="8">
        <v>0</v>
      </c>
      <c r="BE283" s="4" t="s">
        <v>112</v>
      </c>
      <c r="BF283" s="3" t="str">
        <f>CONCATENATE(ROUND(L283,2)," ",K283)</f>
        <v>33.67 Per Visit </v>
      </c>
      <c r="BG283" s="8" t="str">
        <f>CONCATENATE(ROUND(L283*0.95,2)," ",K283)</f>
        <v>31.99 Per Visit </v>
      </c>
      <c r="BH283" s="4" t="s">
        <v>83</v>
      </c>
      <c r="BI283" s="4" t="s">
        <v>83</v>
      </c>
      <c r="BJ283" s="3" t="str">
        <f>CONCATENATE(ROUND(L283*0.95,2)," ",K283)</f>
        <v>31.99 Per Visit </v>
      </c>
      <c r="BK283" s="3" t="str">
        <f>CONCATENATE(ROUND(L283,2)," ",K283)</f>
        <v>33.67 Per Visit </v>
      </c>
      <c r="BL283" s="4" t="s">
        <v>391</v>
      </c>
      <c r="BM283" s="7" t="s">
        <v>126</v>
      </c>
      <c r="BN283" s="8">
        <f>MIN(N283:BM283)</f>
        <v>0</v>
      </c>
      <c r="BO283" s="3" t="s">
        <v>416</v>
      </c>
    </row>
    <row r="284" spans="1:67" ht="19.5" customHeight="1">
      <c r="A284" s="10">
        <f t="shared" si="352"/>
        <v>283</v>
      </c>
      <c r="B284" s="6">
        <v>95911</v>
      </c>
      <c r="C284" s="6">
        <v>5109591100</v>
      </c>
      <c r="D284" s="29" t="s">
        <v>46</v>
      </c>
      <c r="E284" s="11" t="s">
        <v>369</v>
      </c>
      <c r="F284" s="45">
        <v>1450.29</v>
      </c>
      <c r="G284" s="6">
        <v>510</v>
      </c>
      <c r="H284" s="48">
        <v>0</v>
      </c>
      <c r="I284" s="6">
        <v>0</v>
      </c>
      <c r="J284" s="8">
        <f t="shared" si="314"/>
        <v>366.886</v>
      </c>
      <c r="K284" s="24" t="s">
        <v>115</v>
      </c>
      <c r="L284" s="4">
        <v>282.22</v>
      </c>
      <c r="M284" s="3">
        <v>194.55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0</v>
      </c>
      <c r="T284" s="8">
        <v>0</v>
      </c>
      <c r="U284" s="8">
        <v>0</v>
      </c>
      <c r="V284" s="8">
        <v>0</v>
      </c>
      <c r="W284" s="8">
        <v>0</v>
      </c>
      <c r="X284" s="8">
        <v>0</v>
      </c>
      <c r="Y284" s="8">
        <v>0</v>
      </c>
      <c r="Z284" s="8">
        <v>0</v>
      </c>
      <c r="AA284" s="8">
        <v>0</v>
      </c>
      <c r="AB284" s="8">
        <v>0</v>
      </c>
      <c r="AC284" s="8">
        <v>0</v>
      </c>
      <c r="AD284" s="8">
        <v>0</v>
      </c>
      <c r="AE284" s="8">
        <v>0</v>
      </c>
      <c r="AF284" s="8">
        <v>0</v>
      </c>
      <c r="AG284" s="8">
        <v>0</v>
      </c>
      <c r="AH284" s="8">
        <v>0</v>
      </c>
      <c r="AI284" s="8">
        <v>0</v>
      </c>
      <c r="AJ284" s="8">
        <v>0</v>
      </c>
      <c r="AK284" s="8">
        <v>0</v>
      </c>
      <c r="AL284" s="8">
        <v>0</v>
      </c>
      <c r="AM284" s="8">
        <v>0</v>
      </c>
      <c r="AN284" s="8">
        <v>0</v>
      </c>
      <c r="AO284" s="8">
        <v>0</v>
      </c>
      <c r="AP284" s="8">
        <v>0</v>
      </c>
      <c r="AQ284" s="8">
        <v>0</v>
      </c>
      <c r="AR284" s="8">
        <v>0</v>
      </c>
      <c r="AS284" s="8">
        <v>0</v>
      </c>
      <c r="AT284" s="8">
        <v>0</v>
      </c>
      <c r="AU284" s="8">
        <v>0</v>
      </c>
      <c r="AV284" s="8">
        <v>0</v>
      </c>
      <c r="AW284" s="8">
        <v>0</v>
      </c>
      <c r="AX284" s="8">
        <v>0</v>
      </c>
      <c r="AY284" s="8">
        <v>0</v>
      </c>
      <c r="AZ284" s="8">
        <v>0</v>
      </c>
      <c r="BA284" s="8">
        <v>0</v>
      </c>
      <c r="BB284" s="8">
        <v>0</v>
      </c>
      <c r="BC284" s="8">
        <v>0</v>
      </c>
      <c r="BD284" s="8">
        <v>0</v>
      </c>
      <c r="BE284" s="8">
        <v>0</v>
      </c>
      <c r="BF284" s="8">
        <v>0</v>
      </c>
      <c r="BG284" s="8">
        <v>0</v>
      </c>
      <c r="BH284" s="8">
        <v>0</v>
      </c>
      <c r="BI284" s="8">
        <v>0</v>
      </c>
      <c r="BJ284" s="14">
        <v>0</v>
      </c>
      <c r="BK284" s="14">
        <v>0</v>
      </c>
      <c r="BL284" s="14">
        <v>0</v>
      </c>
      <c r="BM284" s="14">
        <v>0</v>
      </c>
      <c r="BN284" s="8">
        <f t="shared" si="347"/>
        <v>0</v>
      </c>
      <c r="BO284" s="8">
        <f aca="true" t="shared" si="353" ref="BO283:BO301">MAX(N284:BM284)</f>
        <v>0</v>
      </c>
    </row>
    <row r="285" spans="1:67" ht="19.5" customHeight="1">
      <c r="A285" s="10">
        <f t="shared" si="352"/>
        <v>284</v>
      </c>
      <c r="B285" s="23">
        <v>92083</v>
      </c>
      <c r="C285" s="6">
        <v>5109208300</v>
      </c>
      <c r="D285" s="32" t="s">
        <v>47</v>
      </c>
      <c r="E285" s="11" t="s">
        <v>369</v>
      </c>
      <c r="F285" s="45">
        <v>348.33</v>
      </c>
      <c r="G285" s="23">
        <v>510</v>
      </c>
      <c r="H285" s="48">
        <v>0</v>
      </c>
      <c r="I285" s="6">
        <v>0</v>
      </c>
      <c r="J285" s="8">
        <f t="shared" si="314"/>
        <v>94.80900000000001</v>
      </c>
      <c r="K285" s="24" t="s">
        <v>115</v>
      </c>
      <c r="L285" s="4">
        <v>72.93</v>
      </c>
      <c r="M285" s="3">
        <v>30.51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  <c r="T285" s="8">
        <v>0</v>
      </c>
      <c r="U285" s="8">
        <v>0</v>
      </c>
      <c r="V285" s="8">
        <v>0</v>
      </c>
      <c r="W285" s="8">
        <v>0</v>
      </c>
      <c r="X285" s="8">
        <v>0</v>
      </c>
      <c r="Y285" s="8">
        <v>0</v>
      </c>
      <c r="Z285" s="8">
        <v>0</v>
      </c>
      <c r="AA285" s="8">
        <v>0</v>
      </c>
      <c r="AB285" s="8">
        <v>0</v>
      </c>
      <c r="AC285" s="8">
        <v>0</v>
      </c>
      <c r="AD285" s="8">
        <v>0</v>
      </c>
      <c r="AE285" s="8">
        <v>0</v>
      </c>
      <c r="AF285" s="8">
        <v>0</v>
      </c>
      <c r="AG285" s="8">
        <v>0</v>
      </c>
      <c r="AH285" s="8">
        <v>0</v>
      </c>
      <c r="AI285" s="8">
        <v>0</v>
      </c>
      <c r="AJ285" s="8">
        <v>0</v>
      </c>
      <c r="AK285" s="8">
        <v>0</v>
      </c>
      <c r="AL285" s="8">
        <v>0</v>
      </c>
      <c r="AM285" s="8">
        <v>0</v>
      </c>
      <c r="AN285" s="8">
        <v>0</v>
      </c>
      <c r="AO285" s="8">
        <v>0</v>
      </c>
      <c r="AP285" s="8">
        <v>0</v>
      </c>
      <c r="AQ285" s="8">
        <v>0</v>
      </c>
      <c r="AR285" s="8">
        <v>0</v>
      </c>
      <c r="AS285" s="8">
        <v>0</v>
      </c>
      <c r="AT285" s="8">
        <v>0</v>
      </c>
      <c r="AU285" s="8">
        <v>0</v>
      </c>
      <c r="AV285" s="8">
        <v>0</v>
      </c>
      <c r="AW285" s="8">
        <v>0</v>
      </c>
      <c r="AX285" s="8">
        <v>0</v>
      </c>
      <c r="AY285" s="8">
        <v>0</v>
      </c>
      <c r="AZ285" s="8">
        <v>0</v>
      </c>
      <c r="BA285" s="8">
        <v>0</v>
      </c>
      <c r="BB285" s="8">
        <v>0</v>
      </c>
      <c r="BC285" s="8">
        <v>0</v>
      </c>
      <c r="BD285" s="8">
        <v>0</v>
      </c>
      <c r="BE285" s="8">
        <v>0</v>
      </c>
      <c r="BF285" s="8">
        <v>0</v>
      </c>
      <c r="BG285" s="8">
        <v>0</v>
      </c>
      <c r="BH285" s="8">
        <v>0</v>
      </c>
      <c r="BI285" s="8">
        <v>0</v>
      </c>
      <c r="BJ285" s="14">
        <v>0</v>
      </c>
      <c r="BK285" s="14">
        <v>0</v>
      </c>
      <c r="BL285" s="14">
        <v>0</v>
      </c>
      <c r="BM285" s="14">
        <v>0</v>
      </c>
      <c r="BN285" s="8">
        <f t="shared" si="347"/>
        <v>0</v>
      </c>
      <c r="BO285" s="8">
        <f t="shared" si="353"/>
        <v>0</v>
      </c>
    </row>
    <row r="286" spans="1:67" ht="19.5" customHeight="1">
      <c r="A286" s="10">
        <f t="shared" si="352"/>
        <v>285</v>
      </c>
      <c r="B286" s="23">
        <v>97129</v>
      </c>
      <c r="C286" s="6">
        <v>4209712900</v>
      </c>
      <c r="D286" s="30" t="s">
        <v>414</v>
      </c>
      <c r="E286" s="6" t="s">
        <v>89</v>
      </c>
      <c r="F286" s="45">
        <v>73.14</v>
      </c>
      <c r="G286" s="23">
        <v>420</v>
      </c>
      <c r="H286" s="48">
        <v>0</v>
      </c>
      <c r="I286" s="6">
        <v>0</v>
      </c>
      <c r="J286" s="8">
        <f t="shared" si="314"/>
        <v>30.095</v>
      </c>
      <c r="K286" s="24" t="s">
        <v>115</v>
      </c>
      <c r="L286" s="4">
        <v>23.15</v>
      </c>
      <c r="M286" s="3">
        <v>25.34</v>
      </c>
      <c r="N286" s="8" t="str">
        <f>CONCATENATE(ROUND(16.25*1.8,2)," ",K286)</f>
        <v>29.25 Per Visit </v>
      </c>
      <c r="O286" s="8" t="str">
        <f>CONCATENATE(ROUND(L286,2)," ",K286)</f>
        <v>23.15 Per Visit </v>
      </c>
      <c r="P286" s="7" t="s">
        <v>123</v>
      </c>
      <c r="Q286" s="3" t="str">
        <f>CONCATENATE(ROUND(L286,2)," ",K286)</f>
        <v>23.15 Per Visit </v>
      </c>
      <c r="R286" s="3" t="str">
        <f>CONCATENATE(ROUND(L286*1.1,2)," ",K286)</f>
        <v>25.47 Per Visit </v>
      </c>
      <c r="S286" s="3" t="str">
        <f>CONCATENATE(ROUND(L286,2)," ",K286)</f>
        <v>23.15 Per Visit </v>
      </c>
      <c r="T286" s="4" t="s">
        <v>388</v>
      </c>
      <c r="U286" s="4" t="s">
        <v>389</v>
      </c>
      <c r="V286" s="3" t="str">
        <f>CONCATENATE(ROUND(L286,2)," ",K286)</f>
        <v>23.15 Per Visit </v>
      </c>
      <c r="W286" s="3" t="str">
        <f>CONCATENATE(ROUND(L286,2)," ",K286)</f>
        <v>23.15 Per Visit </v>
      </c>
      <c r="X286" s="3" t="str">
        <f>CONCATENATE(ROUND(L286,2)," ",K286)</f>
        <v>23.15 Per Visit </v>
      </c>
      <c r="Y286" s="4" t="s">
        <v>392</v>
      </c>
      <c r="Z286" s="3" t="str">
        <f>CONCATENATE(ROUND(L286*0.95,2)," ",K286)</f>
        <v>21.99 Per Visit </v>
      </c>
      <c r="AA286" s="3" t="str">
        <f>CONCATENATE(ROUND(L286*0.95,2)," ",K286)</f>
        <v>21.99 Per Visit </v>
      </c>
      <c r="AB286" s="3" t="str">
        <f>CONCATENATE(ROUND(L286,2)," ",K286)</f>
        <v>23.15 Per Visit </v>
      </c>
      <c r="AC286" s="3" t="str">
        <f>CONCATENATE(ROUND(L286*1.05,2)," ",K286)</f>
        <v>24.31 Per Visit </v>
      </c>
      <c r="AD286" s="3" t="str">
        <f>CONCATENATE(ROUND(L286,2)," ",K286)</f>
        <v>23.15 Per Visit </v>
      </c>
      <c r="AE286" s="3" t="str">
        <f>CONCATENATE(ROUND(L286,2)," ",K286)</f>
        <v>23.15 Per Visit </v>
      </c>
      <c r="AF286" s="3" t="str">
        <f>CONCATENATE(ROUND(L286*0.92,2)," ",K286)</f>
        <v>21.3 Per Visit </v>
      </c>
      <c r="AG286" s="3">
        <f>F286*0.7</f>
        <v>51.198</v>
      </c>
      <c r="AH286" s="4" t="s">
        <v>111</v>
      </c>
      <c r="AI286" s="4" t="s">
        <v>111</v>
      </c>
      <c r="AJ286" s="4" t="s">
        <v>363</v>
      </c>
      <c r="AK286" s="3" t="str">
        <f>CONCATENATE(ROUND(L286,2)," ",K286)</f>
        <v>23.15 Per Visit </v>
      </c>
      <c r="AL286" s="3" t="str">
        <f>CONCATENATE(ROUND(L286,2)," ",K286)</f>
        <v>23.15 Per Visit </v>
      </c>
      <c r="AM286" s="4" t="s">
        <v>124</v>
      </c>
      <c r="AN286" s="4" t="s">
        <v>124</v>
      </c>
      <c r="AO286" s="4" t="s">
        <v>118</v>
      </c>
      <c r="AP286" s="4" t="s">
        <v>119</v>
      </c>
      <c r="AQ286" s="7" t="s">
        <v>83</v>
      </c>
      <c r="AR286" s="2" t="s">
        <v>282</v>
      </c>
      <c r="AS286" s="2" t="s">
        <v>282</v>
      </c>
      <c r="AT286" s="4" t="s">
        <v>126</v>
      </c>
      <c r="AU286" s="3" t="str">
        <f>CONCATENATE(ROUND(M286*1.1,2)," ",K286)</f>
        <v>27.87 Per Visit </v>
      </c>
      <c r="AV286" s="3" t="str">
        <f>CONCATENATE(ROUND(L286,2)," ",K286)</f>
        <v>23.15 Per Visit </v>
      </c>
      <c r="AW286" s="3" t="str">
        <f>CONCATENATE(ROUND(L286*0.95,2)," ",K286)</f>
        <v>21.99 Per Visit </v>
      </c>
      <c r="AX286" s="3" t="str">
        <f>CONCATENATE(ROUND(L286*0.88,2)," ",K286)</f>
        <v>20.37 Per Visit </v>
      </c>
      <c r="AY286" s="3" t="s">
        <v>125</v>
      </c>
      <c r="AZ286" s="4" t="s">
        <v>400</v>
      </c>
      <c r="BA286" s="4" t="s">
        <v>126</v>
      </c>
      <c r="BB286" s="8">
        <v>0</v>
      </c>
      <c r="BC286" s="8">
        <v>0</v>
      </c>
      <c r="BD286" s="8">
        <v>0</v>
      </c>
      <c r="BE286" s="4" t="s">
        <v>112</v>
      </c>
      <c r="BF286" s="3" t="str">
        <f>CONCATENATE(ROUND(L286,2)," ",K286)</f>
        <v>23.15 Per Visit </v>
      </c>
      <c r="BG286" s="8" t="str">
        <f>CONCATENATE(ROUND(L286*0.95,2)," ",K286)</f>
        <v>21.99 Per Visit </v>
      </c>
      <c r="BH286" s="4" t="s">
        <v>83</v>
      </c>
      <c r="BI286" s="4" t="s">
        <v>83</v>
      </c>
      <c r="BJ286" s="3" t="str">
        <f>CONCATENATE(ROUND(L286*0.95,2)," ",K286)</f>
        <v>21.99 Per Visit </v>
      </c>
      <c r="BK286" s="3" t="str">
        <f>CONCATENATE(ROUND(L286,2)," ",K286)</f>
        <v>23.15 Per Visit </v>
      </c>
      <c r="BL286" s="4" t="s">
        <v>391</v>
      </c>
      <c r="BM286" s="7" t="s">
        <v>126</v>
      </c>
      <c r="BN286" s="8">
        <f>MIN(N286:BM286)</f>
        <v>0</v>
      </c>
      <c r="BO286" s="3" t="s">
        <v>416</v>
      </c>
    </row>
    <row r="287" spans="1:67" ht="19.5" customHeight="1">
      <c r="A287" s="10">
        <f t="shared" si="352"/>
        <v>286</v>
      </c>
      <c r="B287" s="6">
        <v>97130</v>
      </c>
      <c r="C287" s="6">
        <v>4209713000</v>
      </c>
      <c r="D287" s="30" t="s">
        <v>415</v>
      </c>
      <c r="E287" s="6" t="s">
        <v>89</v>
      </c>
      <c r="F287" s="45">
        <v>69.81</v>
      </c>
      <c r="G287" s="23">
        <v>420</v>
      </c>
      <c r="H287" s="48">
        <v>0</v>
      </c>
      <c r="I287" s="6">
        <v>0</v>
      </c>
      <c r="J287" s="8">
        <f t="shared" si="314"/>
        <v>28.703999999999997</v>
      </c>
      <c r="K287" s="24" t="s">
        <v>115</v>
      </c>
      <c r="L287" s="3">
        <v>22.08</v>
      </c>
      <c r="M287" s="3">
        <v>24.19</v>
      </c>
      <c r="N287" s="8" t="str">
        <f>CONCATENATE(ROUND(15.76*1.8,2)," ",K287)</f>
        <v>28.37 Per Visit </v>
      </c>
      <c r="O287" s="8" t="str">
        <f>CONCATENATE(ROUND(L287,2)," ",K287)</f>
        <v>22.08 Per Visit </v>
      </c>
      <c r="P287" s="7" t="s">
        <v>123</v>
      </c>
      <c r="Q287" s="3" t="str">
        <f>CONCATENATE(ROUND(L287,2)," ",K287)</f>
        <v>22.08 Per Visit </v>
      </c>
      <c r="R287" s="3" t="str">
        <f>CONCATENATE(ROUND(L287*1.1,2)," ",K287)</f>
        <v>24.29 Per Visit </v>
      </c>
      <c r="S287" s="3" t="str">
        <f>CONCATENATE(ROUND(L287,2)," ",K287)</f>
        <v>22.08 Per Visit </v>
      </c>
      <c r="T287" s="4" t="s">
        <v>388</v>
      </c>
      <c r="U287" s="4" t="s">
        <v>389</v>
      </c>
      <c r="V287" s="3" t="str">
        <f>CONCATENATE(ROUND(L287,2)," ",K287)</f>
        <v>22.08 Per Visit </v>
      </c>
      <c r="W287" s="3" t="str">
        <f>CONCATENATE(ROUND(L287,2)," ",K287)</f>
        <v>22.08 Per Visit </v>
      </c>
      <c r="X287" s="3" t="str">
        <f>CONCATENATE(ROUND(L287,2)," ",K287)</f>
        <v>22.08 Per Visit </v>
      </c>
      <c r="Y287" s="4" t="s">
        <v>392</v>
      </c>
      <c r="Z287" s="3" t="str">
        <f>CONCATENATE(ROUND(L287*0.95,2)," ",K287)</f>
        <v>20.98 Per Visit </v>
      </c>
      <c r="AA287" s="3" t="str">
        <f>CONCATENATE(ROUND(L287*0.95,2)," ",K287)</f>
        <v>20.98 Per Visit </v>
      </c>
      <c r="AB287" s="3" t="str">
        <f>CONCATENATE(ROUND(L287,2)," ",K287)</f>
        <v>22.08 Per Visit </v>
      </c>
      <c r="AC287" s="3" t="str">
        <f>CONCATENATE(ROUND(L287*1.05,2)," ",K287)</f>
        <v>23.18 Per Visit </v>
      </c>
      <c r="AD287" s="3" t="str">
        <f>CONCATENATE(ROUND(L287,2)," ",K287)</f>
        <v>22.08 Per Visit </v>
      </c>
      <c r="AE287" s="3" t="str">
        <f>CONCATENATE(ROUND(L287,2)," ",K287)</f>
        <v>22.08 Per Visit </v>
      </c>
      <c r="AF287" s="3" t="str">
        <f>CONCATENATE(ROUND(L287*0.92,2)," ",K287)</f>
        <v>20.31 Per Visit </v>
      </c>
      <c r="AG287" s="3">
        <f>F287*0.7</f>
        <v>48.867</v>
      </c>
      <c r="AH287" s="4" t="s">
        <v>111</v>
      </c>
      <c r="AI287" s="4" t="s">
        <v>111</v>
      </c>
      <c r="AJ287" s="4" t="s">
        <v>363</v>
      </c>
      <c r="AK287" s="3" t="str">
        <f>CONCATENATE(ROUND(L287,2)," ",K287)</f>
        <v>22.08 Per Visit </v>
      </c>
      <c r="AL287" s="3" t="str">
        <f>CONCATENATE(ROUND(L287,2)," ",K287)</f>
        <v>22.08 Per Visit </v>
      </c>
      <c r="AM287" s="4" t="s">
        <v>124</v>
      </c>
      <c r="AN287" s="4" t="s">
        <v>124</v>
      </c>
      <c r="AO287" s="4" t="s">
        <v>118</v>
      </c>
      <c r="AP287" s="4" t="s">
        <v>119</v>
      </c>
      <c r="AQ287" s="7" t="s">
        <v>83</v>
      </c>
      <c r="AR287" s="2" t="s">
        <v>282</v>
      </c>
      <c r="AS287" s="2" t="s">
        <v>282</v>
      </c>
      <c r="AT287" s="4" t="s">
        <v>126</v>
      </c>
      <c r="AU287" s="3" t="str">
        <f>CONCATENATE(ROUND(M287*1.1,2)," ",K287)</f>
        <v>26.61 Per Visit </v>
      </c>
      <c r="AV287" s="3" t="str">
        <f>CONCATENATE(ROUND(L287,2)," ",K287)</f>
        <v>22.08 Per Visit </v>
      </c>
      <c r="AW287" s="3" t="str">
        <f>CONCATENATE(ROUND(L287*0.95,2)," ",K287)</f>
        <v>20.98 Per Visit </v>
      </c>
      <c r="AX287" s="3" t="str">
        <f>CONCATENATE(ROUND(L287*0.88,2)," ",K287)</f>
        <v>19.43 Per Visit </v>
      </c>
      <c r="AY287" s="3" t="s">
        <v>125</v>
      </c>
      <c r="AZ287" s="4" t="s">
        <v>400</v>
      </c>
      <c r="BA287" s="4" t="s">
        <v>126</v>
      </c>
      <c r="BB287" s="8">
        <v>0</v>
      </c>
      <c r="BC287" s="8">
        <v>0</v>
      </c>
      <c r="BD287" s="8">
        <v>0</v>
      </c>
      <c r="BE287" s="4" t="s">
        <v>112</v>
      </c>
      <c r="BF287" s="3" t="str">
        <f>CONCATENATE(ROUND(L287,2)," ",K287)</f>
        <v>22.08 Per Visit </v>
      </c>
      <c r="BG287" s="8" t="str">
        <f>CONCATENATE(ROUND(L287*0.95,2)," ",K287)</f>
        <v>20.98 Per Visit </v>
      </c>
      <c r="BH287" s="4" t="s">
        <v>83</v>
      </c>
      <c r="BI287" s="4" t="s">
        <v>83</v>
      </c>
      <c r="BJ287" s="3" t="str">
        <f>CONCATENATE(ROUND(L287*0.95,2)," ",K287)</f>
        <v>20.98 Per Visit </v>
      </c>
      <c r="BK287" s="3" t="str">
        <f>CONCATENATE(ROUND(L287,2)," ",K287)</f>
        <v>22.08 Per Visit </v>
      </c>
      <c r="BL287" s="4" t="s">
        <v>391</v>
      </c>
      <c r="BM287" s="7" t="s">
        <v>126</v>
      </c>
      <c r="BN287" s="8">
        <f>MIN(N287:BM287)</f>
        <v>0</v>
      </c>
      <c r="BO287" s="3" t="s">
        <v>416</v>
      </c>
    </row>
    <row r="288" spans="1:67" ht="19.5" customHeight="1">
      <c r="A288" s="10">
        <f t="shared" si="352"/>
        <v>287</v>
      </c>
      <c r="B288" s="6">
        <v>97605</v>
      </c>
      <c r="C288" s="6">
        <v>5109760500</v>
      </c>
      <c r="D288" s="30" t="s">
        <v>336</v>
      </c>
      <c r="E288" s="11" t="s">
        <v>369</v>
      </c>
      <c r="F288" s="45">
        <v>541.74</v>
      </c>
      <c r="G288" s="6">
        <v>510</v>
      </c>
      <c r="H288" s="48">
        <v>0</v>
      </c>
      <c r="I288" s="6">
        <v>0</v>
      </c>
      <c r="J288" s="8">
        <f t="shared" si="314"/>
        <v>62.543</v>
      </c>
      <c r="K288" s="24" t="s">
        <v>115</v>
      </c>
      <c r="L288" s="3">
        <v>48.11</v>
      </c>
      <c r="M288" s="14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0</v>
      </c>
      <c r="Z288" s="8">
        <v>0</v>
      </c>
      <c r="AA288" s="8">
        <v>0</v>
      </c>
      <c r="AB288" s="8">
        <v>0</v>
      </c>
      <c r="AC288" s="8">
        <v>0</v>
      </c>
      <c r="AD288" s="8">
        <v>0</v>
      </c>
      <c r="AE288" s="8">
        <v>0</v>
      </c>
      <c r="AF288" s="8">
        <v>0</v>
      </c>
      <c r="AG288" s="8">
        <v>0</v>
      </c>
      <c r="AH288" s="8">
        <v>0</v>
      </c>
      <c r="AI288" s="8">
        <v>0</v>
      </c>
      <c r="AJ288" s="8">
        <v>0</v>
      </c>
      <c r="AK288" s="8">
        <v>0</v>
      </c>
      <c r="AL288" s="8">
        <v>0</v>
      </c>
      <c r="AM288" s="8">
        <v>0</v>
      </c>
      <c r="AN288" s="8">
        <v>0</v>
      </c>
      <c r="AO288" s="8">
        <v>0</v>
      </c>
      <c r="AP288" s="8">
        <v>0</v>
      </c>
      <c r="AQ288" s="8">
        <v>0</v>
      </c>
      <c r="AR288" s="8">
        <v>0</v>
      </c>
      <c r="AS288" s="8">
        <v>0</v>
      </c>
      <c r="AT288" s="8">
        <v>0</v>
      </c>
      <c r="AU288" s="8">
        <v>0</v>
      </c>
      <c r="AV288" s="8">
        <v>0</v>
      </c>
      <c r="AW288" s="8">
        <v>0</v>
      </c>
      <c r="AX288" s="8">
        <v>0</v>
      </c>
      <c r="AY288" s="8">
        <v>0</v>
      </c>
      <c r="AZ288" s="8">
        <v>0</v>
      </c>
      <c r="BA288" s="8">
        <v>0</v>
      </c>
      <c r="BB288" s="8">
        <v>0</v>
      </c>
      <c r="BC288" s="8">
        <v>0</v>
      </c>
      <c r="BD288" s="8">
        <v>0</v>
      </c>
      <c r="BE288" s="8">
        <v>0</v>
      </c>
      <c r="BF288" s="8">
        <v>0</v>
      </c>
      <c r="BG288" s="8">
        <v>0</v>
      </c>
      <c r="BH288" s="8">
        <v>0</v>
      </c>
      <c r="BI288" s="8">
        <v>0</v>
      </c>
      <c r="BJ288" s="14">
        <v>0</v>
      </c>
      <c r="BK288" s="14">
        <v>0</v>
      </c>
      <c r="BL288" s="14">
        <v>0</v>
      </c>
      <c r="BM288" s="14">
        <v>0</v>
      </c>
      <c r="BN288" s="8">
        <f t="shared" si="347"/>
        <v>0</v>
      </c>
      <c r="BO288" s="8">
        <f t="shared" si="353"/>
        <v>0</v>
      </c>
    </row>
    <row r="289" spans="1:67" ht="19.5" customHeight="1">
      <c r="A289" s="10">
        <f t="shared" si="352"/>
        <v>288</v>
      </c>
      <c r="B289" s="6">
        <v>70450</v>
      </c>
      <c r="C289" s="6">
        <v>3517045000</v>
      </c>
      <c r="D289" s="30" t="s">
        <v>300</v>
      </c>
      <c r="E289" s="11" t="s">
        <v>368</v>
      </c>
      <c r="F289" s="46">
        <v>532.78</v>
      </c>
      <c r="G289" s="6">
        <v>351</v>
      </c>
      <c r="H289" s="48">
        <v>0</v>
      </c>
      <c r="I289" s="6">
        <v>0</v>
      </c>
      <c r="J289" s="8">
        <v>0</v>
      </c>
      <c r="K289" s="24" t="s">
        <v>386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0</v>
      </c>
      <c r="Z289" s="8">
        <v>0</v>
      </c>
      <c r="AA289" s="8">
        <v>0</v>
      </c>
      <c r="AB289" s="8">
        <v>0</v>
      </c>
      <c r="AC289" s="8">
        <v>0</v>
      </c>
      <c r="AD289" s="8">
        <v>0</v>
      </c>
      <c r="AE289" s="8">
        <v>0</v>
      </c>
      <c r="AF289" s="8">
        <v>0</v>
      </c>
      <c r="AG289" s="8">
        <v>0</v>
      </c>
      <c r="AH289" s="8">
        <v>0</v>
      </c>
      <c r="AI289" s="8">
        <v>0</v>
      </c>
      <c r="AJ289" s="8">
        <v>0</v>
      </c>
      <c r="AK289" s="8">
        <v>0</v>
      </c>
      <c r="AL289" s="8">
        <v>0</v>
      </c>
      <c r="AM289" s="8">
        <v>0</v>
      </c>
      <c r="AN289" s="8">
        <v>0</v>
      </c>
      <c r="AO289" s="8">
        <v>0</v>
      </c>
      <c r="AP289" s="8">
        <v>0</v>
      </c>
      <c r="AQ289" s="8">
        <v>0</v>
      </c>
      <c r="AR289" s="8">
        <v>0</v>
      </c>
      <c r="AS289" s="8">
        <v>0</v>
      </c>
      <c r="AT289" s="8">
        <v>0</v>
      </c>
      <c r="AU289" s="8">
        <v>0</v>
      </c>
      <c r="AV289" s="8">
        <v>0</v>
      </c>
      <c r="AW289" s="8">
        <v>0</v>
      </c>
      <c r="AX289" s="8">
        <v>0</v>
      </c>
      <c r="AY289" s="8">
        <v>0</v>
      </c>
      <c r="AZ289" s="8">
        <v>0</v>
      </c>
      <c r="BA289" s="8">
        <v>0</v>
      </c>
      <c r="BB289" s="8">
        <v>0</v>
      </c>
      <c r="BC289" s="8">
        <v>0</v>
      </c>
      <c r="BD289" s="8">
        <v>0</v>
      </c>
      <c r="BE289" s="8">
        <v>0</v>
      </c>
      <c r="BF289" s="8">
        <v>0</v>
      </c>
      <c r="BG289" s="8">
        <v>0</v>
      </c>
      <c r="BH289" s="8">
        <v>0</v>
      </c>
      <c r="BI289" s="8">
        <v>0</v>
      </c>
      <c r="BJ289" s="8">
        <v>0</v>
      </c>
      <c r="BK289" s="8">
        <v>0</v>
      </c>
      <c r="BL289" s="8">
        <v>0</v>
      </c>
      <c r="BM289" s="8">
        <v>0</v>
      </c>
      <c r="BN289" s="3">
        <f>MIN(N289:BM289:BM289)</f>
        <v>0</v>
      </c>
      <c r="BO289" s="3">
        <f t="shared" si="353"/>
        <v>0</v>
      </c>
    </row>
    <row r="290" spans="1:67" ht="19.5" customHeight="1">
      <c r="A290" s="10">
        <f t="shared" si="352"/>
        <v>289</v>
      </c>
      <c r="B290" s="6">
        <v>70553</v>
      </c>
      <c r="C290" s="6">
        <v>6117055301</v>
      </c>
      <c r="D290" s="30" t="s">
        <v>301</v>
      </c>
      <c r="E290" s="11" t="s">
        <v>368</v>
      </c>
      <c r="F290" s="46">
        <v>1105.29</v>
      </c>
      <c r="G290" s="6">
        <v>611</v>
      </c>
      <c r="H290" s="48">
        <v>0</v>
      </c>
      <c r="I290" s="6">
        <v>0</v>
      </c>
      <c r="J290" s="8">
        <v>0</v>
      </c>
      <c r="K290" s="24" t="s">
        <v>386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v>0</v>
      </c>
      <c r="S290" s="8">
        <v>0</v>
      </c>
      <c r="T290" s="8">
        <v>0</v>
      </c>
      <c r="U290" s="8">
        <v>0</v>
      </c>
      <c r="V290" s="8">
        <v>0</v>
      </c>
      <c r="W290" s="8">
        <v>0</v>
      </c>
      <c r="X290" s="8">
        <v>0</v>
      </c>
      <c r="Y290" s="8">
        <v>0</v>
      </c>
      <c r="Z290" s="8">
        <v>0</v>
      </c>
      <c r="AA290" s="8">
        <v>0</v>
      </c>
      <c r="AB290" s="8">
        <v>0</v>
      </c>
      <c r="AC290" s="8">
        <v>0</v>
      </c>
      <c r="AD290" s="8">
        <v>0</v>
      </c>
      <c r="AE290" s="8">
        <v>0</v>
      </c>
      <c r="AF290" s="8">
        <v>0</v>
      </c>
      <c r="AG290" s="8">
        <v>0</v>
      </c>
      <c r="AH290" s="8">
        <v>0</v>
      </c>
      <c r="AI290" s="8">
        <v>0</v>
      </c>
      <c r="AJ290" s="8">
        <v>0</v>
      </c>
      <c r="AK290" s="8">
        <v>0</v>
      </c>
      <c r="AL290" s="8">
        <v>0</v>
      </c>
      <c r="AM290" s="8">
        <v>0</v>
      </c>
      <c r="AN290" s="8">
        <v>0</v>
      </c>
      <c r="AO290" s="8">
        <v>0</v>
      </c>
      <c r="AP290" s="8">
        <v>0</v>
      </c>
      <c r="AQ290" s="8">
        <v>0</v>
      </c>
      <c r="AR290" s="8">
        <v>0</v>
      </c>
      <c r="AS290" s="8">
        <v>0</v>
      </c>
      <c r="AT290" s="8">
        <v>0</v>
      </c>
      <c r="AU290" s="8">
        <v>0</v>
      </c>
      <c r="AV290" s="8">
        <v>0</v>
      </c>
      <c r="AW290" s="8">
        <v>0</v>
      </c>
      <c r="AX290" s="8">
        <v>0</v>
      </c>
      <c r="AY290" s="8">
        <v>0</v>
      </c>
      <c r="AZ290" s="8">
        <v>0</v>
      </c>
      <c r="BA290" s="8">
        <v>0</v>
      </c>
      <c r="BB290" s="8">
        <v>0</v>
      </c>
      <c r="BC290" s="8">
        <v>0</v>
      </c>
      <c r="BD290" s="8">
        <v>0</v>
      </c>
      <c r="BE290" s="8">
        <v>0</v>
      </c>
      <c r="BF290" s="8">
        <v>0</v>
      </c>
      <c r="BG290" s="8">
        <v>0</v>
      </c>
      <c r="BH290" s="8">
        <v>0</v>
      </c>
      <c r="BI290" s="8">
        <v>0</v>
      </c>
      <c r="BJ290" s="8">
        <v>0</v>
      </c>
      <c r="BK290" s="8">
        <v>0</v>
      </c>
      <c r="BL290" s="8">
        <v>0</v>
      </c>
      <c r="BM290" s="8">
        <v>0</v>
      </c>
      <c r="BN290" s="3">
        <f>MIN(N290:BM290:BM290)</f>
        <v>0</v>
      </c>
      <c r="BO290" s="3">
        <f t="shared" si="353"/>
        <v>0</v>
      </c>
    </row>
    <row r="291" spans="1:67" ht="19.5" customHeight="1">
      <c r="A291" s="10">
        <f t="shared" si="352"/>
        <v>290</v>
      </c>
      <c r="B291" s="6">
        <v>72110</v>
      </c>
      <c r="C291" s="6">
        <v>3207211000</v>
      </c>
      <c r="D291" s="30" t="s">
        <v>302</v>
      </c>
      <c r="E291" s="11" t="s">
        <v>368</v>
      </c>
      <c r="F291" s="46">
        <v>97.14</v>
      </c>
      <c r="G291" s="6">
        <v>320</v>
      </c>
      <c r="H291" s="48">
        <v>0</v>
      </c>
      <c r="I291" s="6">
        <v>0</v>
      </c>
      <c r="J291" s="8">
        <v>0</v>
      </c>
      <c r="K291" s="24" t="s">
        <v>386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0</v>
      </c>
      <c r="R291" s="8">
        <v>0</v>
      </c>
      <c r="S291" s="8">
        <v>0</v>
      </c>
      <c r="T291" s="8">
        <v>0</v>
      </c>
      <c r="U291" s="8">
        <v>0</v>
      </c>
      <c r="V291" s="8">
        <v>0</v>
      </c>
      <c r="W291" s="8">
        <v>0</v>
      </c>
      <c r="X291" s="8">
        <v>0</v>
      </c>
      <c r="Y291" s="8">
        <v>0</v>
      </c>
      <c r="Z291" s="8">
        <v>0</v>
      </c>
      <c r="AA291" s="8">
        <v>0</v>
      </c>
      <c r="AB291" s="8">
        <v>0</v>
      </c>
      <c r="AC291" s="8">
        <v>0</v>
      </c>
      <c r="AD291" s="8">
        <v>0</v>
      </c>
      <c r="AE291" s="8">
        <v>0</v>
      </c>
      <c r="AF291" s="8">
        <v>0</v>
      </c>
      <c r="AG291" s="8">
        <v>0</v>
      </c>
      <c r="AH291" s="8">
        <v>0</v>
      </c>
      <c r="AI291" s="8">
        <v>0</v>
      </c>
      <c r="AJ291" s="8">
        <v>0</v>
      </c>
      <c r="AK291" s="8">
        <v>0</v>
      </c>
      <c r="AL291" s="8">
        <v>0</v>
      </c>
      <c r="AM291" s="8">
        <v>0</v>
      </c>
      <c r="AN291" s="8">
        <v>0</v>
      </c>
      <c r="AO291" s="8">
        <v>0</v>
      </c>
      <c r="AP291" s="8">
        <v>0</v>
      </c>
      <c r="AQ291" s="8">
        <v>0</v>
      </c>
      <c r="AR291" s="8">
        <v>0</v>
      </c>
      <c r="AS291" s="8">
        <v>0</v>
      </c>
      <c r="AT291" s="8">
        <v>0</v>
      </c>
      <c r="AU291" s="8">
        <v>0</v>
      </c>
      <c r="AV291" s="8">
        <v>0</v>
      </c>
      <c r="AW291" s="8">
        <v>0</v>
      </c>
      <c r="AX291" s="8">
        <v>0</v>
      </c>
      <c r="AY291" s="8">
        <v>0</v>
      </c>
      <c r="AZ291" s="8">
        <v>0</v>
      </c>
      <c r="BA291" s="8">
        <v>0</v>
      </c>
      <c r="BB291" s="8">
        <v>0</v>
      </c>
      <c r="BC291" s="8">
        <v>0</v>
      </c>
      <c r="BD291" s="8">
        <v>0</v>
      </c>
      <c r="BE291" s="8">
        <v>0</v>
      </c>
      <c r="BF291" s="8">
        <v>0</v>
      </c>
      <c r="BG291" s="8">
        <v>0</v>
      </c>
      <c r="BH291" s="8">
        <v>0</v>
      </c>
      <c r="BI291" s="8">
        <v>0</v>
      </c>
      <c r="BJ291" s="8">
        <v>0</v>
      </c>
      <c r="BK291" s="8">
        <v>0</v>
      </c>
      <c r="BL291" s="8">
        <v>0</v>
      </c>
      <c r="BM291" s="8">
        <v>0</v>
      </c>
      <c r="BN291" s="3">
        <f>MIN(N291:BM291:BM291)</f>
        <v>0</v>
      </c>
      <c r="BO291" s="3">
        <f t="shared" si="353"/>
        <v>0</v>
      </c>
    </row>
    <row r="292" spans="1:67" ht="19.5" customHeight="1">
      <c r="A292" s="10">
        <f t="shared" si="352"/>
        <v>291</v>
      </c>
      <c r="B292" s="6">
        <v>72148</v>
      </c>
      <c r="C292" s="6">
        <v>6127214800</v>
      </c>
      <c r="D292" s="30" t="s">
        <v>303</v>
      </c>
      <c r="E292" s="11" t="s">
        <v>368</v>
      </c>
      <c r="F292" s="46">
        <v>1402.88</v>
      </c>
      <c r="G292" s="6">
        <v>612</v>
      </c>
      <c r="H292" s="48">
        <v>0</v>
      </c>
      <c r="I292" s="6">
        <v>0</v>
      </c>
      <c r="J292" s="8">
        <v>0</v>
      </c>
      <c r="K292" s="24" t="s">
        <v>386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  <c r="T292" s="8">
        <v>0</v>
      </c>
      <c r="U292" s="8">
        <v>0</v>
      </c>
      <c r="V292" s="8">
        <v>0</v>
      </c>
      <c r="W292" s="8">
        <v>0</v>
      </c>
      <c r="X292" s="8">
        <v>0</v>
      </c>
      <c r="Y292" s="8">
        <v>0</v>
      </c>
      <c r="Z292" s="8">
        <v>0</v>
      </c>
      <c r="AA292" s="8">
        <v>0</v>
      </c>
      <c r="AB292" s="8">
        <v>0</v>
      </c>
      <c r="AC292" s="8">
        <v>0</v>
      </c>
      <c r="AD292" s="8">
        <v>0</v>
      </c>
      <c r="AE292" s="8">
        <v>0</v>
      </c>
      <c r="AF292" s="8">
        <v>0</v>
      </c>
      <c r="AG292" s="8">
        <v>0</v>
      </c>
      <c r="AH292" s="8">
        <v>0</v>
      </c>
      <c r="AI292" s="8">
        <v>0</v>
      </c>
      <c r="AJ292" s="8">
        <v>0</v>
      </c>
      <c r="AK292" s="8">
        <v>0</v>
      </c>
      <c r="AL292" s="8">
        <v>0</v>
      </c>
      <c r="AM292" s="8">
        <v>0</v>
      </c>
      <c r="AN292" s="8">
        <v>0</v>
      </c>
      <c r="AO292" s="8">
        <v>0</v>
      </c>
      <c r="AP292" s="8">
        <v>0</v>
      </c>
      <c r="AQ292" s="8">
        <v>0</v>
      </c>
      <c r="AR292" s="8">
        <v>0</v>
      </c>
      <c r="AS292" s="8">
        <v>0</v>
      </c>
      <c r="AT292" s="8">
        <v>0</v>
      </c>
      <c r="AU292" s="8">
        <v>0</v>
      </c>
      <c r="AV292" s="8">
        <v>0</v>
      </c>
      <c r="AW292" s="8">
        <v>0</v>
      </c>
      <c r="AX292" s="8">
        <v>0</v>
      </c>
      <c r="AY292" s="8">
        <v>0</v>
      </c>
      <c r="AZ292" s="8">
        <v>0</v>
      </c>
      <c r="BA292" s="8">
        <v>0</v>
      </c>
      <c r="BB292" s="8">
        <v>0</v>
      </c>
      <c r="BC292" s="8">
        <v>0</v>
      </c>
      <c r="BD292" s="8">
        <v>0</v>
      </c>
      <c r="BE292" s="8">
        <v>0</v>
      </c>
      <c r="BF292" s="8">
        <v>0</v>
      </c>
      <c r="BG292" s="8">
        <v>0</v>
      </c>
      <c r="BH292" s="8">
        <v>0</v>
      </c>
      <c r="BI292" s="8">
        <v>0</v>
      </c>
      <c r="BJ292" s="8">
        <v>0</v>
      </c>
      <c r="BK292" s="8">
        <v>0</v>
      </c>
      <c r="BL292" s="8">
        <v>0</v>
      </c>
      <c r="BM292" s="8">
        <v>0</v>
      </c>
      <c r="BN292" s="3">
        <f>MIN(N292:BM292:BM292)</f>
        <v>0</v>
      </c>
      <c r="BO292" s="3">
        <f t="shared" si="353"/>
        <v>0</v>
      </c>
    </row>
    <row r="293" spans="1:67" ht="19.5" customHeight="1">
      <c r="A293" s="10">
        <f t="shared" si="352"/>
        <v>292</v>
      </c>
      <c r="B293" s="6">
        <v>72193</v>
      </c>
      <c r="C293" s="6">
        <v>3527219300</v>
      </c>
      <c r="D293" s="30" t="s">
        <v>304</v>
      </c>
      <c r="E293" s="11" t="s">
        <v>368</v>
      </c>
      <c r="F293" s="46">
        <v>771.93</v>
      </c>
      <c r="G293" s="6">
        <v>352</v>
      </c>
      <c r="H293" s="48">
        <v>0</v>
      </c>
      <c r="I293" s="6">
        <v>0</v>
      </c>
      <c r="J293" s="8">
        <v>0</v>
      </c>
      <c r="K293" s="24" t="s">
        <v>386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0</v>
      </c>
      <c r="S293" s="8">
        <v>0</v>
      </c>
      <c r="T293" s="8">
        <v>0</v>
      </c>
      <c r="U293" s="8">
        <v>0</v>
      </c>
      <c r="V293" s="8">
        <v>0</v>
      </c>
      <c r="W293" s="8">
        <v>0</v>
      </c>
      <c r="X293" s="8">
        <v>0</v>
      </c>
      <c r="Y293" s="8">
        <v>0</v>
      </c>
      <c r="Z293" s="8">
        <v>0</v>
      </c>
      <c r="AA293" s="8">
        <v>0</v>
      </c>
      <c r="AB293" s="8">
        <v>0</v>
      </c>
      <c r="AC293" s="8">
        <v>0</v>
      </c>
      <c r="AD293" s="8">
        <v>0</v>
      </c>
      <c r="AE293" s="8">
        <v>0</v>
      </c>
      <c r="AF293" s="8">
        <v>0</v>
      </c>
      <c r="AG293" s="8">
        <v>0</v>
      </c>
      <c r="AH293" s="8">
        <v>0</v>
      </c>
      <c r="AI293" s="8">
        <v>0</v>
      </c>
      <c r="AJ293" s="8">
        <v>0</v>
      </c>
      <c r="AK293" s="8">
        <v>0</v>
      </c>
      <c r="AL293" s="8">
        <v>0</v>
      </c>
      <c r="AM293" s="8">
        <v>0</v>
      </c>
      <c r="AN293" s="8">
        <v>0</v>
      </c>
      <c r="AO293" s="8">
        <v>0</v>
      </c>
      <c r="AP293" s="8">
        <v>0</v>
      </c>
      <c r="AQ293" s="8">
        <v>0</v>
      </c>
      <c r="AR293" s="8">
        <v>0</v>
      </c>
      <c r="AS293" s="8">
        <v>0</v>
      </c>
      <c r="AT293" s="8">
        <v>0</v>
      </c>
      <c r="AU293" s="8">
        <v>0</v>
      </c>
      <c r="AV293" s="8">
        <v>0</v>
      </c>
      <c r="AW293" s="8">
        <v>0</v>
      </c>
      <c r="AX293" s="8">
        <v>0</v>
      </c>
      <c r="AY293" s="8">
        <v>0</v>
      </c>
      <c r="AZ293" s="8">
        <v>0</v>
      </c>
      <c r="BA293" s="8">
        <v>0</v>
      </c>
      <c r="BB293" s="8">
        <v>0</v>
      </c>
      <c r="BC293" s="8">
        <v>0</v>
      </c>
      <c r="BD293" s="8">
        <v>0</v>
      </c>
      <c r="BE293" s="8">
        <v>0</v>
      </c>
      <c r="BF293" s="8">
        <v>0</v>
      </c>
      <c r="BG293" s="8">
        <v>0</v>
      </c>
      <c r="BH293" s="8">
        <v>0</v>
      </c>
      <c r="BI293" s="8">
        <v>0</v>
      </c>
      <c r="BJ293" s="8">
        <v>0</v>
      </c>
      <c r="BK293" s="8">
        <v>0</v>
      </c>
      <c r="BL293" s="8">
        <v>0</v>
      </c>
      <c r="BM293" s="8">
        <v>0</v>
      </c>
      <c r="BN293" s="3">
        <f>MIN(N293:BM293:BM293)</f>
        <v>0</v>
      </c>
      <c r="BO293" s="3">
        <f t="shared" si="353"/>
        <v>0</v>
      </c>
    </row>
    <row r="294" spans="1:67" ht="19.5" customHeight="1">
      <c r="A294" s="10">
        <f t="shared" si="352"/>
        <v>293</v>
      </c>
      <c r="B294" s="6">
        <v>73721</v>
      </c>
      <c r="C294" s="6" t="s">
        <v>395</v>
      </c>
      <c r="D294" s="30" t="s">
        <v>305</v>
      </c>
      <c r="E294" s="11" t="s">
        <v>368</v>
      </c>
      <c r="F294" s="46">
        <v>700.56</v>
      </c>
      <c r="G294" s="6">
        <v>616</v>
      </c>
      <c r="H294" s="48">
        <v>0</v>
      </c>
      <c r="I294" s="6">
        <v>0</v>
      </c>
      <c r="J294" s="8">
        <v>0</v>
      </c>
      <c r="K294" s="24" t="s">
        <v>386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  <c r="T294" s="8">
        <v>0</v>
      </c>
      <c r="U294" s="8">
        <v>0</v>
      </c>
      <c r="V294" s="8">
        <v>0</v>
      </c>
      <c r="W294" s="8">
        <v>0</v>
      </c>
      <c r="X294" s="8">
        <v>0</v>
      </c>
      <c r="Y294" s="8">
        <v>0</v>
      </c>
      <c r="Z294" s="8">
        <v>0</v>
      </c>
      <c r="AA294" s="8">
        <v>0</v>
      </c>
      <c r="AB294" s="8">
        <v>0</v>
      </c>
      <c r="AC294" s="8">
        <v>0</v>
      </c>
      <c r="AD294" s="8">
        <v>0</v>
      </c>
      <c r="AE294" s="8">
        <v>0</v>
      </c>
      <c r="AF294" s="8">
        <v>0</v>
      </c>
      <c r="AG294" s="8">
        <v>0</v>
      </c>
      <c r="AH294" s="8">
        <v>0</v>
      </c>
      <c r="AI294" s="8">
        <v>0</v>
      </c>
      <c r="AJ294" s="8">
        <v>0</v>
      </c>
      <c r="AK294" s="8">
        <v>0</v>
      </c>
      <c r="AL294" s="8">
        <v>0</v>
      </c>
      <c r="AM294" s="8">
        <v>0</v>
      </c>
      <c r="AN294" s="8">
        <v>0</v>
      </c>
      <c r="AO294" s="8">
        <v>0</v>
      </c>
      <c r="AP294" s="8">
        <v>0</v>
      </c>
      <c r="AQ294" s="8">
        <v>0</v>
      </c>
      <c r="AR294" s="8">
        <v>0</v>
      </c>
      <c r="AS294" s="8">
        <v>0</v>
      </c>
      <c r="AT294" s="8">
        <v>0</v>
      </c>
      <c r="AU294" s="8">
        <v>0</v>
      </c>
      <c r="AV294" s="8">
        <v>0</v>
      </c>
      <c r="AW294" s="8">
        <v>0</v>
      </c>
      <c r="AX294" s="8">
        <v>0</v>
      </c>
      <c r="AY294" s="8">
        <v>0</v>
      </c>
      <c r="AZ294" s="8">
        <v>0</v>
      </c>
      <c r="BA294" s="8">
        <v>0</v>
      </c>
      <c r="BB294" s="8">
        <v>0</v>
      </c>
      <c r="BC294" s="8">
        <v>0</v>
      </c>
      <c r="BD294" s="8">
        <v>0</v>
      </c>
      <c r="BE294" s="8">
        <v>0</v>
      </c>
      <c r="BF294" s="8">
        <v>0</v>
      </c>
      <c r="BG294" s="8">
        <v>0</v>
      </c>
      <c r="BH294" s="8">
        <v>0</v>
      </c>
      <c r="BI294" s="8">
        <v>0</v>
      </c>
      <c r="BJ294" s="8">
        <v>0</v>
      </c>
      <c r="BK294" s="8">
        <v>0</v>
      </c>
      <c r="BL294" s="8">
        <v>0</v>
      </c>
      <c r="BM294" s="8">
        <v>0</v>
      </c>
      <c r="BN294" s="3">
        <f>MIN(N294:BM294:BM294)</f>
        <v>0</v>
      </c>
      <c r="BO294" s="3">
        <f t="shared" si="353"/>
        <v>0</v>
      </c>
    </row>
    <row r="295" spans="1:67" ht="19.5" customHeight="1">
      <c r="A295" s="10">
        <f t="shared" si="352"/>
        <v>294</v>
      </c>
      <c r="B295" s="6">
        <v>74177</v>
      </c>
      <c r="C295" s="6">
        <v>3527417700</v>
      </c>
      <c r="D295" s="30" t="s">
        <v>306</v>
      </c>
      <c r="E295" s="11" t="s">
        <v>368</v>
      </c>
      <c r="F295" s="46">
        <v>1110.24</v>
      </c>
      <c r="G295" s="6">
        <v>352</v>
      </c>
      <c r="H295" s="48">
        <v>0</v>
      </c>
      <c r="I295" s="6">
        <v>0</v>
      </c>
      <c r="J295" s="8">
        <v>0</v>
      </c>
      <c r="K295" s="24" t="s">
        <v>386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8">
        <v>0</v>
      </c>
      <c r="R295" s="8">
        <v>0</v>
      </c>
      <c r="S295" s="8">
        <v>0</v>
      </c>
      <c r="T295" s="8">
        <v>0</v>
      </c>
      <c r="U295" s="8">
        <v>0</v>
      </c>
      <c r="V295" s="8">
        <v>0</v>
      </c>
      <c r="W295" s="8">
        <v>0</v>
      </c>
      <c r="X295" s="8">
        <v>0</v>
      </c>
      <c r="Y295" s="8">
        <v>0</v>
      </c>
      <c r="Z295" s="8">
        <v>0</v>
      </c>
      <c r="AA295" s="8">
        <v>0</v>
      </c>
      <c r="AB295" s="8">
        <v>0</v>
      </c>
      <c r="AC295" s="8">
        <v>0</v>
      </c>
      <c r="AD295" s="8">
        <v>0</v>
      </c>
      <c r="AE295" s="8">
        <v>0</v>
      </c>
      <c r="AF295" s="8">
        <v>0</v>
      </c>
      <c r="AG295" s="8">
        <v>0</v>
      </c>
      <c r="AH295" s="8">
        <v>0</v>
      </c>
      <c r="AI295" s="8">
        <v>0</v>
      </c>
      <c r="AJ295" s="8">
        <v>0</v>
      </c>
      <c r="AK295" s="8">
        <v>0</v>
      </c>
      <c r="AL295" s="8">
        <v>0</v>
      </c>
      <c r="AM295" s="8">
        <v>0</v>
      </c>
      <c r="AN295" s="8">
        <v>0</v>
      </c>
      <c r="AO295" s="8">
        <v>0</v>
      </c>
      <c r="AP295" s="8">
        <v>0</v>
      </c>
      <c r="AQ295" s="8">
        <v>0</v>
      </c>
      <c r="AR295" s="8">
        <v>0</v>
      </c>
      <c r="AS295" s="8">
        <v>0</v>
      </c>
      <c r="AT295" s="8">
        <v>0</v>
      </c>
      <c r="AU295" s="8">
        <v>0</v>
      </c>
      <c r="AV295" s="8">
        <v>0</v>
      </c>
      <c r="AW295" s="8">
        <v>0</v>
      </c>
      <c r="AX295" s="8">
        <v>0</v>
      </c>
      <c r="AY295" s="8">
        <v>0</v>
      </c>
      <c r="AZ295" s="8">
        <v>0</v>
      </c>
      <c r="BA295" s="8">
        <v>0</v>
      </c>
      <c r="BB295" s="8">
        <v>0</v>
      </c>
      <c r="BC295" s="8">
        <v>0</v>
      </c>
      <c r="BD295" s="8">
        <v>0</v>
      </c>
      <c r="BE295" s="8">
        <v>0</v>
      </c>
      <c r="BF295" s="8">
        <v>0</v>
      </c>
      <c r="BG295" s="8">
        <v>0</v>
      </c>
      <c r="BH295" s="8">
        <v>0</v>
      </c>
      <c r="BI295" s="8">
        <v>0</v>
      </c>
      <c r="BJ295" s="8">
        <v>0</v>
      </c>
      <c r="BK295" s="8">
        <v>0</v>
      </c>
      <c r="BL295" s="8">
        <v>0</v>
      </c>
      <c r="BM295" s="8">
        <v>0</v>
      </c>
      <c r="BN295" s="3">
        <f>MIN(N295:BM295:BM295)</f>
        <v>0</v>
      </c>
      <c r="BO295" s="3">
        <f t="shared" si="353"/>
        <v>0</v>
      </c>
    </row>
    <row r="296" spans="1:67" ht="19.5" customHeight="1">
      <c r="A296" s="10">
        <f t="shared" si="352"/>
        <v>295</v>
      </c>
      <c r="B296" s="6">
        <v>76700</v>
      </c>
      <c r="C296" s="6">
        <v>4027670000</v>
      </c>
      <c r="D296" s="30" t="s">
        <v>307</v>
      </c>
      <c r="E296" s="11" t="s">
        <v>368</v>
      </c>
      <c r="F296" s="46">
        <v>222.78</v>
      </c>
      <c r="G296" s="6">
        <v>402</v>
      </c>
      <c r="H296" s="48">
        <v>0</v>
      </c>
      <c r="I296" s="6">
        <v>0</v>
      </c>
      <c r="J296" s="8">
        <v>0</v>
      </c>
      <c r="K296" s="24" t="s">
        <v>386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8">
        <v>0</v>
      </c>
      <c r="R296" s="8">
        <v>0</v>
      </c>
      <c r="S296" s="8">
        <v>0</v>
      </c>
      <c r="T296" s="8">
        <v>0</v>
      </c>
      <c r="U296" s="8">
        <v>0</v>
      </c>
      <c r="V296" s="8">
        <v>0</v>
      </c>
      <c r="W296" s="8">
        <v>0</v>
      </c>
      <c r="X296" s="8">
        <v>0</v>
      </c>
      <c r="Y296" s="8">
        <v>0</v>
      </c>
      <c r="Z296" s="8">
        <v>0</v>
      </c>
      <c r="AA296" s="8">
        <v>0</v>
      </c>
      <c r="AB296" s="8">
        <v>0</v>
      </c>
      <c r="AC296" s="8">
        <v>0</v>
      </c>
      <c r="AD296" s="8">
        <v>0</v>
      </c>
      <c r="AE296" s="8">
        <v>0</v>
      </c>
      <c r="AF296" s="8">
        <v>0</v>
      </c>
      <c r="AG296" s="8">
        <v>0</v>
      </c>
      <c r="AH296" s="8">
        <v>0</v>
      </c>
      <c r="AI296" s="8">
        <v>0</v>
      </c>
      <c r="AJ296" s="8">
        <v>0</v>
      </c>
      <c r="AK296" s="8">
        <v>0</v>
      </c>
      <c r="AL296" s="8">
        <v>0</v>
      </c>
      <c r="AM296" s="8">
        <v>0</v>
      </c>
      <c r="AN296" s="8">
        <v>0</v>
      </c>
      <c r="AO296" s="8">
        <v>0</v>
      </c>
      <c r="AP296" s="8">
        <v>0</v>
      </c>
      <c r="AQ296" s="8">
        <v>0</v>
      </c>
      <c r="AR296" s="8">
        <v>0</v>
      </c>
      <c r="AS296" s="8">
        <v>0</v>
      </c>
      <c r="AT296" s="8">
        <v>0</v>
      </c>
      <c r="AU296" s="8">
        <v>0</v>
      </c>
      <c r="AV296" s="8">
        <v>0</v>
      </c>
      <c r="AW296" s="8">
        <v>0</v>
      </c>
      <c r="AX296" s="8">
        <v>0</v>
      </c>
      <c r="AY296" s="8">
        <v>0</v>
      </c>
      <c r="AZ296" s="8">
        <v>0</v>
      </c>
      <c r="BA296" s="8">
        <v>0</v>
      </c>
      <c r="BB296" s="8">
        <v>0</v>
      </c>
      <c r="BC296" s="8">
        <v>0</v>
      </c>
      <c r="BD296" s="8">
        <v>0</v>
      </c>
      <c r="BE296" s="8">
        <v>0</v>
      </c>
      <c r="BF296" s="8">
        <v>0</v>
      </c>
      <c r="BG296" s="8">
        <v>0</v>
      </c>
      <c r="BH296" s="8">
        <v>0</v>
      </c>
      <c r="BI296" s="8">
        <v>0</v>
      </c>
      <c r="BJ296" s="8">
        <v>0</v>
      </c>
      <c r="BK296" s="8">
        <v>0</v>
      </c>
      <c r="BL296" s="8">
        <v>0</v>
      </c>
      <c r="BM296" s="8">
        <v>0</v>
      </c>
      <c r="BN296" s="3">
        <f>MIN(N296:BM296:BM296)</f>
        <v>0</v>
      </c>
      <c r="BO296" s="3">
        <f t="shared" si="353"/>
        <v>0</v>
      </c>
    </row>
    <row r="297" spans="1:67" ht="19.5" customHeight="1">
      <c r="A297" s="10">
        <f t="shared" si="352"/>
        <v>296</v>
      </c>
      <c r="B297" s="6">
        <v>76805</v>
      </c>
      <c r="C297" s="11" t="s">
        <v>379</v>
      </c>
      <c r="D297" s="30" t="s">
        <v>308</v>
      </c>
      <c r="E297" s="11" t="s">
        <v>368</v>
      </c>
      <c r="F297" s="46">
        <v>0</v>
      </c>
      <c r="G297" s="39" t="s">
        <v>379</v>
      </c>
      <c r="H297" s="48">
        <v>0</v>
      </c>
      <c r="I297" s="6">
        <v>0</v>
      </c>
      <c r="J297" s="8">
        <v>0</v>
      </c>
      <c r="K297" s="24" t="s">
        <v>386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0</v>
      </c>
      <c r="T297" s="8">
        <v>0</v>
      </c>
      <c r="U297" s="8">
        <v>0</v>
      </c>
      <c r="V297" s="8">
        <v>0</v>
      </c>
      <c r="W297" s="8">
        <v>0</v>
      </c>
      <c r="X297" s="8">
        <v>0</v>
      </c>
      <c r="Y297" s="8">
        <v>0</v>
      </c>
      <c r="Z297" s="8">
        <v>0</v>
      </c>
      <c r="AA297" s="8">
        <v>0</v>
      </c>
      <c r="AB297" s="8">
        <v>0</v>
      </c>
      <c r="AC297" s="8">
        <v>0</v>
      </c>
      <c r="AD297" s="8">
        <v>0</v>
      </c>
      <c r="AE297" s="8">
        <v>0</v>
      </c>
      <c r="AF297" s="8">
        <v>0</v>
      </c>
      <c r="AG297" s="8">
        <v>0</v>
      </c>
      <c r="AH297" s="8">
        <v>0</v>
      </c>
      <c r="AI297" s="8">
        <v>0</v>
      </c>
      <c r="AJ297" s="8">
        <v>0</v>
      </c>
      <c r="AK297" s="8">
        <v>0</v>
      </c>
      <c r="AL297" s="8">
        <v>0</v>
      </c>
      <c r="AM297" s="8">
        <v>0</v>
      </c>
      <c r="AN297" s="8">
        <v>0</v>
      </c>
      <c r="AO297" s="8">
        <v>0</v>
      </c>
      <c r="AP297" s="8">
        <v>0</v>
      </c>
      <c r="AQ297" s="8">
        <v>0</v>
      </c>
      <c r="AR297" s="8">
        <v>0</v>
      </c>
      <c r="AS297" s="8">
        <v>0</v>
      </c>
      <c r="AT297" s="8">
        <v>0</v>
      </c>
      <c r="AU297" s="8">
        <v>0</v>
      </c>
      <c r="AV297" s="8">
        <v>0</v>
      </c>
      <c r="AW297" s="8">
        <v>0</v>
      </c>
      <c r="AX297" s="8">
        <v>0</v>
      </c>
      <c r="AY297" s="8">
        <v>0</v>
      </c>
      <c r="AZ297" s="8">
        <v>0</v>
      </c>
      <c r="BA297" s="8">
        <v>0</v>
      </c>
      <c r="BB297" s="8">
        <v>0</v>
      </c>
      <c r="BC297" s="8">
        <v>0</v>
      </c>
      <c r="BD297" s="8">
        <v>0</v>
      </c>
      <c r="BE297" s="8">
        <v>0</v>
      </c>
      <c r="BF297" s="8">
        <v>0</v>
      </c>
      <c r="BG297" s="8">
        <v>0</v>
      </c>
      <c r="BH297" s="8">
        <v>0</v>
      </c>
      <c r="BI297" s="8">
        <v>0</v>
      </c>
      <c r="BJ297" s="8">
        <v>0</v>
      </c>
      <c r="BK297" s="8">
        <v>0</v>
      </c>
      <c r="BL297" s="8">
        <v>0</v>
      </c>
      <c r="BM297" s="8">
        <v>0</v>
      </c>
      <c r="BN297" s="3">
        <f>MIN(N297:BM297:BM297)</f>
        <v>0</v>
      </c>
      <c r="BO297" s="3">
        <f t="shared" si="353"/>
        <v>0</v>
      </c>
    </row>
    <row r="298" spans="1:67" ht="19.5" customHeight="1">
      <c r="A298" s="10">
        <f t="shared" si="352"/>
        <v>297</v>
      </c>
      <c r="B298" s="6">
        <v>76830</v>
      </c>
      <c r="C298" s="6">
        <v>4027683000</v>
      </c>
      <c r="D298" s="30" t="s">
        <v>309</v>
      </c>
      <c r="E298" s="11" t="s">
        <v>368</v>
      </c>
      <c r="F298" s="46">
        <v>108.4</v>
      </c>
      <c r="G298" s="6">
        <v>402</v>
      </c>
      <c r="H298" s="48">
        <v>0</v>
      </c>
      <c r="I298" s="6">
        <v>0</v>
      </c>
      <c r="J298" s="8">
        <v>0</v>
      </c>
      <c r="K298" s="24" t="s">
        <v>386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8">
        <v>0</v>
      </c>
      <c r="R298" s="8">
        <v>0</v>
      </c>
      <c r="S298" s="8">
        <v>0</v>
      </c>
      <c r="T298" s="8">
        <v>0</v>
      </c>
      <c r="U298" s="8">
        <v>0</v>
      </c>
      <c r="V298" s="8">
        <v>0</v>
      </c>
      <c r="W298" s="8">
        <v>0</v>
      </c>
      <c r="X298" s="8">
        <v>0</v>
      </c>
      <c r="Y298" s="8">
        <v>0</v>
      </c>
      <c r="Z298" s="8">
        <v>0</v>
      </c>
      <c r="AA298" s="8">
        <v>0</v>
      </c>
      <c r="AB298" s="8">
        <v>0</v>
      </c>
      <c r="AC298" s="8">
        <v>0</v>
      </c>
      <c r="AD298" s="8">
        <v>0</v>
      </c>
      <c r="AE298" s="8">
        <v>0</v>
      </c>
      <c r="AF298" s="8">
        <v>0</v>
      </c>
      <c r="AG298" s="8">
        <v>0</v>
      </c>
      <c r="AH298" s="8">
        <v>0</v>
      </c>
      <c r="AI298" s="8">
        <v>0</v>
      </c>
      <c r="AJ298" s="8">
        <v>0</v>
      </c>
      <c r="AK298" s="8">
        <v>0</v>
      </c>
      <c r="AL298" s="8">
        <v>0</v>
      </c>
      <c r="AM298" s="8">
        <v>0</v>
      </c>
      <c r="AN298" s="8">
        <v>0</v>
      </c>
      <c r="AO298" s="8">
        <v>0</v>
      </c>
      <c r="AP298" s="8">
        <v>0</v>
      </c>
      <c r="AQ298" s="8">
        <v>0</v>
      </c>
      <c r="AR298" s="8">
        <v>0</v>
      </c>
      <c r="AS298" s="8">
        <v>0</v>
      </c>
      <c r="AT298" s="8">
        <v>0</v>
      </c>
      <c r="AU298" s="8">
        <v>0</v>
      </c>
      <c r="AV298" s="8">
        <v>0</v>
      </c>
      <c r="AW298" s="8">
        <v>0</v>
      </c>
      <c r="AX298" s="8">
        <v>0</v>
      </c>
      <c r="AY298" s="8">
        <v>0</v>
      </c>
      <c r="AZ298" s="8">
        <v>0</v>
      </c>
      <c r="BA298" s="8">
        <v>0</v>
      </c>
      <c r="BB298" s="8">
        <v>0</v>
      </c>
      <c r="BC298" s="8">
        <v>0</v>
      </c>
      <c r="BD298" s="8">
        <v>0</v>
      </c>
      <c r="BE298" s="8">
        <v>0</v>
      </c>
      <c r="BF298" s="8">
        <v>0</v>
      </c>
      <c r="BG298" s="8">
        <v>0</v>
      </c>
      <c r="BH298" s="8">
        <v>0</v>
      </c>
      <c r="BI298" s="8">
        <v>0</v>
      </c>
      <c r="BJ298" s="8">
        <v>0</v>
      </c>
      <c r="BK298" s="8">
        <v>0</v>
      </c>
      <c r="BL298" s="8">
        <v>0</v>
      </c>
      <c r="BM298" s="8">
        <v>0</v>
      </c>
      <c r="BN298" s="3">
        <f>MIN(N298:BM298:BM298)</f>
        <v>0</v>
      </c>
      <c r="BO298" s="3">
        <f t="shared" si="353"/>
        <v>0</v>
      </c>
    </row>
    <row r="299" spans="1:67" ht="19.5" customHeight="1">
      <c r="A299" s="10">
        <f t="shared" si="352"/>
        <v>298</v>
      </c>
      <c r="B299" s="6">
        <v>77065</v>
      </c>
      <c r="C299" s="11" t="s">
        <v>379</v>
      </c>
      <c r="D299" s="30" t="s">
        <v>310</v>
      </c>
      <c r="E299" s="11" t="s">
        <v>368</v>
      </c>
      <c r="F299" s="46">
        <v>0</v>
      </c>
      <c r="G299" s="39" t="s">
        <v>379</v>
      </c>
      <c r="H299" s="48">
        <v>0</v>
      </c>
      <c r="I299" s="6">
        <v>0</v>
      </c>
      <c r="J299" s="8">
        <v>0</v>
      </c>
      <c r="K299" s="24" t="s">
        <v>386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  <c r="T299" s="8">
        <v>0</v>
      </c>
      <c r="U299" s="8">
        <v>0</v>
      </c>
      <c r="V299" s="8">
        <v>0</v>
      </c>
      <c r="W299" s="8">
        <v>0</v>
      </c>
      <c r="X299" s="8">
        <v>0</v>
      </c>
      <c r="Y299" s="8">
        <v>0</v>
      </c>
      <c r="Z299" s="8">
        <v>0</v>
      </c>
      <c r="AA299" s="8">
        <v>0</v>
      </c>
      <c r="AB299" s="8">
        <v>0</v>
      </c>
      <c r="AC299" s="8">
        <v>0</v>
      </c>
      <c r="AD299" s="8">
        <v>0</v>
      </c>
      <c r="AE299" s="8">
        <v>0</v>
      </c>
      <c r="AF299" s="8">
        <v>0</v>
      </c>
      <c r="AG299" s="8">
        <v>0</v>
      </c>
      <c r="AH299" s="8">
        <v>0</v>
      </c>
      <c r="AI299" s="8">
        <v>0</v>
      </c>
      <c r="AJ299" s="8">
        <v>0</v>
      </c>
      <c r="AK299" s="8">
        <v>0</v>
      </c>
      <c r="AL299" s="8">
        <v>0</v>
      </c>
      <c r="AM299" s="8">
        <v>0</v>
      </c>
      <c r="AN299" s="8">
        <v>0</v>
      </c>
      <c r="AO299" s="8">
        <v>0</v>
      </c>
      <c r="AP299" s="8">
        <v>0</v>
      </c>
      <c r="AQ299" s="8">
        <v>0</v>
      </c>
      <c r="AR299" s="8">
        <v>0</v>
      </c>
      <c r="AS299" s="8">
        <v>0</v>
      </c>
      <c r="AT299" s="8">
        <v>0</v>
      </c>
      <c r="AU299" s="8">
        <v>0</v>
      </c>
      <c r="AV299" s="8">
        <v>0</v>
      </c>
      <c r="AW299" s="8">
        <v>0</v>
      </c>
      <c r="AX299" s="8">
        <v>0</v>
      </c>
      <c r="AY299" s="8">
        <v>0</v>
      </c>
      <c r="AZ299" s="8">
        <v>0</v>
      </c>
      <c r="BA299" s="8">
        <v>0</v>
      </c>
      <c r="BB299" s="8">
        <v>0</v>
      </c>
      <c r="BC299" s="8">
        <v>0</v>
      </c>
      <c r="BD299" s="8">
        <v>0</v>
      </c>
      <c r="BE299" s="8">
        <v>0</v>
      </c>
      <c r="BF299" s="8">
        <v>0</v>
      </c>
      <c r="BG299" s="8">
        <v>0</v>
      </c>
      <c r="BH299" s="8">
        <v>0</v>
      </c>
      <c r="BI299" s="8">
        <v>0</v>
      </c>
      <c r="BJ299" s="8">
        <v>0</v>
      </c>
      <c r="BK299" s="8">
        <v>0</v>
      </c>
      <c r="BL299" s="8">
        <v>0</v>
      </c>
      <c r="BM299" s="8">
        <v>0</v>
      </c>
      <c r="BN299" s="3">
        <f>MIN(N299:BM299:BM299)</f>
        <v>0</v>
      </c>
      <c r="BO299" s="3">
        <f t="shared" si="353"/>
        <v>0</v>
      </c>
    </row>
    <row r="300" spans="1:67" ht="19.5" customHeight="1">
      <c r="A300" s="10">
        <f t="shared" si="352"/>
        <v>299</v>
      </c>
      <c r="B300" s="6">
        <v>77066</v>
      </c>
      <c r="C300" s="11" t="s">
        <v>379</v>
      </c>
      <c r="D300" s="30" t="s">
        <v>311</v>
      </c>
      <c r="E300" s="11" t="s">
        <v>368</v>
      </c>
      <c r="F300" s="46">
        <v>0</v>
      </c>
      <c r="G300" s="39" t="s">
        <v>379</v>
      </c>
      <c r="H300" s="48">
        <v>0</v>
      </c>
      <c r="I300" s="6">
        <v>0</v>
      </c>
      <c r="J300" s="8">
        <v>0</v>
      </c>
      <c r="K300" s="24" t="s">
        <v>386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8">
        <v>0</v>
      </c>
      <c r="R300" s="8">
        <v>0</v>
      </c>
      <c r="S300" s="8">
        <v>0</v>
      </c>
      <c r="T300" s="8">
        <v>0</v>
      </c>
      <c r="U300" s="8">
        <v>0</v>
      </c>
      <c r="V300" s="8">
        <v>0</v>
      </c>
      <c r="W300" s="8">
        <v>0</v>
      </c>
      <c r="X300" s="8">
        <v>0</v>
      </c>
      <c r="Y300" s="8">
        <v>0</v>
      </c>
      <c r="Z300" s="8">
        <v>0</v>
      </c>
      <c r="AA300" s="8">
        <v>0</v>
      </c>
      <c r="AB300" s="8">
        <v>0</v>
      </c>
      <c r="AC300" s="8">
        <v>0</v>
      </c>
      <c r="AD300" s="8">
        <v>0</v>
      </c>
      <c r="AE300" s="8">
        <v>0</v>
      </c>
      <c r="AF300" s="8">
        <v>0</v>
      </c>
      <c r="AG300" s="8">
        <v>0</v>
      </c>
      <c r="AH300" s="8">
        <v>0</v>
      </c>
      <c r="AI300" s="8">
        <v>0</v>
      </c>
      <c r="AJ300" s="8">
        <v>0</v>
      </c>
      <c r="AK300" s="8">
        <v>0</v>
      </c>
      <c r="AL300" s="8">
        <v>0</v>
      </c>
      <c r="AM300" s="8">
        <v>0</v>
      </c>
      <c r="AN300" s="8">
        <v>0</v>
      </c>
      <c r="AO300" s="8">
        <v>0</v>
      </c>
      <c r="AP300" s="8">
        <v>0</v>
      </c>
      <c r="AQ300" s="8">
        <v>0</v>
      </c>
      <c r="AR300" s="8">
        <v>0</v>
      </c>
      <c r="AS300" s="8">
        <v>0</v>
      </c>
      <c r="AT300" s="8">
        <v>0</v>
      </c>
      <c r="AU300" s="8">
        <v>0</v>
      </c>
      <c r="AV300" s="8">
        <v>0</v>
      </c>
      <c r="AW300" s="8">
        <v>0</v>
      </c>
      <c r="AX300" s="8">
        <v>0</v>
      </c>
      <c r="AY300" s="8">
        <v>0</v>
      </c>
      <c r="AZ300" s="8">
        <v>0</v>
      </c>
      <c r="BA300" s="8">
        <v>0</v>
      </c>
      <c r="BB300" s="8">
        <v>0</v>
      </c>
      <c r="BC300" s="8">
        <v>0</v>
      </c>
      <c r="BD300" s="8">
        <v>0</v>
      </c>
      <c r="BE300" s="8">
        <v>0</v>
      </c>
      <c r="BF300" s="8">
        <v>0</v>
      </c>
      <c r="BG300" s="8">
        <v>0</v>
      </c>
      <c r="BH300" s="8">
        <v>0</v>
      </c>
      <c r="BI300" s="8">
        <v>0</v>
      </c>
      <c r="BJ300" s="8">
        <v>0</v>
      </c>
      <c r="BK300" s="8">
        <v>0</v>
      </c>
      <c r="BL300" s="8">
        <v>0</v>
      </c>
      <c r="BM300" s="8">
        <v>0</v>
      </c>
      <c r="BN300" s="3">
        <f>MIN(N300:BM300:BM300)</f>
        <v>0</v>
      </c>
      <c r="BO300" s="3">
        <f t="shared" si="353"/>
        <v>0</v>
      </c>
    </row>
    <row r="301" spans="1:67" ht="19.5" customHeight="1">
      <c r="A301" s="10">
        <f t="shared" si="352"/>
        <v>300</v>
      </c>
      <c r="B301" s="6">
        <v>77067</v>
      </c>
      <c r="C301" s="11" t="s">
        <v>379</v>
      </c>
      <c r="D301" s="30" t="s">
        <v>312</v>
      </c>
      <c r="E301" s="11" t="s">
        <v>368</v>
      </c>
      <c r="F301" s="46">
        <v>0</v>
      </c>
      <c r="G301" s="39" t="s">
        <v>379</v>
      </c>
      <c r="H301" s="48">
        <v>0</v>
      </c>
      <c r="I301" s="6">
        <v>0</v>
      </c>
      <c r="J301" s="8">
        <v>0</v>
      </c>
      <c r="K301" s="24" t="s">
        <v>386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  <c r="S301" s="8">
        <v>0</v>
      </c>
      <c r="T301" s="8">
        <v>0</v>
      </c>
      <c r="U301" s="8">
        <v>0</v>
      </c>
      <c r="V301" s="8">
        <v>0</v>
      </c>
      <c r="W301" s="8">
        <v>0</v>
      </c>
      <c r="X301" s="8">
        <v>0</v>
      </c>
      <c r="Y301" s="8">
        <v>0</v>
      </c>
      <c r="Z301" s="8">
        <v>0</v>
      </c>
      <c r="AA301" s="8">
        <v>0</v>
      </c>
      <c r="AB301" s="8">
        <v>0</v>
      </c>
      <c r="AC301" s="8">
        <v>0</v>
      </c>
      <c r="AD301" s="8">
        <v>0</v>
      </c>
      <c r="AE301" s="8">
        <v>0</v>
      </c>
      <c r="AF301" s="8">
        <v>0</v>
      </c>
      <c r="AG301" s="8">
        <v>0</v>
      </c>
      <c r="AH301" s="8">
        <v>0</v>
      </c>
      <c r="AI301" s="8">
        <v>0</v>
      </c>
      <c r="AJ301" s="8">
        <v>0</v>
      </c>
      <c r="AK301" s="8">
        <v>0</v>
      </c>
      <c r="AL301" s="8">
        <v>0</v>
      </c>
      <c r="AM301" s="8">
        <v>0</v>
      </c>
      <c r="AN301" s="8">
        <v>0</v>
      </c>
      <c r="AO301" s="8">
        <v>0</v>
      </c>
      <c r="AP301" s="8">
        <v>0</v>
      </c>
      <c r="AQ301" s="8">
        <v>0</v>
      </c>
      <c r="AR301" s="8">
        <v>0</v>
      </c>
      <c r="AS301" s="8">
        <v>0</v>
      </c>
      <c r="AT301" s="8">
        <v>0</v>
      </c>
      <c r="AU301" s="8">
        <v>0</v>
      </c>
      <c r="AV301" s="8">
        <v>0</v>
      </c>
      <c r="AW301" s="8">
        <v>0</v>
      </c>
      <c r="AX301" s="8">
        <v>0</v>
      </c>
      <c r="AY301" s="8">
        <v>0</v>
      </c>
      <c r="AZ301" s="8">
        <v>0</v>
      </c>
      <c r="BA301" s="8">
        <v>0</v>
      </c>
      <c r="BB301" s="8">
        <v>0</v>
      </c>
      <c r="BC301" s="8">
        <v>0</v>
      </c>
      <c r="BD301" s="8">
        <v>0</v>
      </c>
      <c r="BE301" s="8">
        <v>0</v>
      </c>
      <c r="BF301" s="8">
        <v>0</v>
      </c>
      <c r="BG301" s="8">
        <v>0</v>
      </c>
      <c r="BH301" s="8">
        <v>0</v>
      </c>
      <c r="BI301" s="8">
        <v>0</v>
      </c>
      <c r="BJ301" s="8">
        <v>0</v>
      </c>
      <c r="BK301" s="8">
        <v>0</v>
      </c>
      <c r="BL301" s="8">
        <v>0</v>
      </c>
      <c r="BM301" s="8">
        <v>0</v>
      </c>
      <c r="BN301" s="3">
        <f>MIN(N301:BM301:BM301)</f>
        <v>0</v>
      </c>
      <c r="BO301" s="3">
        <f t="shared" si="353"/>
        <v>0</v>
      </c>
    </row>
    <row r="302" spans="14:64" ht="12.75">
      <c r="N302" s="8"/>
      <c r="U302" s="8"/>
      <c r="W302" s="8"/>
      <c r="Y302" s="28"/>
      <c r="AJ302" s="8"/>
      <c r="AR302" s="8"/>
      <c r="AT302" s="28"/>
      <c r="BL302" s="28"/>
    </row>
    <row r="303" spans="14:64" ht="12.75">
      <c r="N303" s="8"/>
      <c r="U303" s="8"/>
      <c r="W303" s="8"/>
      <c r="Y303" s="28"/>
      <c r="AJ303" s="8"/>
      <c r="AR303" s="8"/>
      <c r="AT303" s="28"/>
      <c r="BL303" s="28"/>
    </row>
    <row r="304" spans="14:64" ht="12.75">
      <c r="N304" s="8"/>
      <c r="U304" s="8"/>
      <c r="W304" s="8"/>
      <c r="Y304" s="28"/>
      <c r="AJ304" s="8"/>
      <c r="AR304" s="8"/>
      <c r="AT304" s="28"/>
      <c r="BL304" s="28"/>
    </row>
    <row r="305" spans="14:64" ht="12.75">
      <c r="N305" s="8"/>
      <c r="U305" s="8"/>
      <c r="W305" s="8"/>
      <c r="Y305" s="28"/>
      <c r="AJ305" s="8"/>
      <c r="AR305" s="8"/>
      <c r="AT305" s="28"/>
      <c r="BL305" s="28"/>
    </row>
    <row r="306" spans="14:64" ht="12.75">
      <c r="N306" s="8"/>
      <c r="U306" s="8"/>
      <c r="W306" s="8"/>
      <c r="Y306" s="28"/>
      <c r="AJ306" s="8"/>
      <c r="AR306" s="8"/>
      <c r="AT306" s="28"/>
      <c r="BL306" s="28"/>
    </row>
    <row r="307" spans="14:64" ht="12.75">
      <c r="N307" s="8"/>
      <c r="U307" s="8"/>
      <c r="W307" s="8"/>
      <c r="Y307" s="28"/>
      <c r="AJ307" s="8"/>
      <c r="AR307" s="8"/>
      <c r="AT307" s="28"/>
      <c r="BL307" s="28"/>
    </row>
    <row r="308" spans="14:64" ht="12.75">
      <c r="N308" s="8"/>
      <c r="U308" s="8"/>
      <c r="W308" s="8"/>
      <c r="Y308" s="28"/>
      <c r="AJ308" s="8"/>
      <c r="AR308" s="8"/>
      <c r="AT308" s="28"/>
      <c r="BL308" s="28"/>
    </row>
    <row r="309" spans="14:64" ht="12.75">
      <c r="N309" s="8"/>
      <c r="U309" s="8"/>
      <c r="W309" s="8"/>
      <c r="Y309" s="28"/>
      <c r="AJ309" s="8"/>
      <c r="AR309" s="8"/>
      <c r="AT309" s="28"/>
      <c r="BL309" s="28"/>
    </row>
    <row r="310" spans="14:64" ht="12.75">
      <c r="N310" s="8"/>
      <c r="U310" s="8"/>
      <c r="W310" s="8"/>
      <c r="Y310" s="28"/>
      <c r="AJ310" s="8"/>
      <c r="AR310" s="8"/>
      <c r="AT310" s="28"/>
      <c r="BL310" s="28"/>
    </row>
    <row r="311" spans="14:64" ht="12.75">
      <c r="N311" s="8"/>
      <c r="U311" s="8"/>
      <c r="W311" s="8"/>
      <c r="Y311" s="28"/>
      <c r="AJ311" s="8"/>
      <c r="AR311" s="8"/>
      <c r="AT311" s="28"/>
      <c r="BL311" s="28"/>
    </row>
    <row r="312" spans="12:64" ht="12.75">
      <c r="L312" s="8"/>
      <c r="M312" s="8"/>
      <c r="N312" s="8"/>
      <c r="Q312" s="2"/>
      <c r="S312" s="3"/>
      <c r="U312" s="8"/>
      <c r="V312" s="8"/>
      <c r="W312" s="8"/>
      <c r="Y312" s="28"/>
      <c r="AJ312" s="8"/>
      <c r="AR312" s="8"/>
      <c r="AT312" s="28"/>
      <c r="BL312" s="28"/>
    </row>
    <row r="313" spans="14:64" ht="12.75">
      <c r="N313" s="8"/>
      <c r="S313" s="3"/>
      <c r="U313" s="8"/>
      <c r="W313" s="8"/>
      <c r="Y313" s="28"/>
      <c r="AJ313" s="8"/>
      <c r="AR313" s="8"/>
      <c r="AT313" s="28"/>
      <c r="BL313" s="28"/>
    </row>
    <row r="314" spans="14:64" ht="12.75">
      <c r="N314" s="8"/>
      <c r="U314" s="8"/>
      <c r="W314" s="8"/>
      <c r="Y314" s="28"/>
      <c r="AJ314" s="8"/>
      <c r="AR314" s="8"/>
      <c r="AT314" s="28"/>
      <c r="BL314" s="28"/>
    </row>
    <row r="315" spans="14:64" ht="12.75">
      <c r="N315" s="8"/>
      <c r="U315" s="8"/>
      <c r="W315" s="8"/>
      <c r="Y315" s="28"/>
      <c r="AJ315" s="8"/>
      <c r="AR315" s="8"/>
      <c r="AT315" s="28"/>
      <c r="BL315" s="28"/>
    </row>
    <row r="316" spans="14:64" ht="12.75">
      <c r="N316" s="8"/>
      <c r="U316" s="8"/>
      <c r="W316" s="8"/>
      <c r="Y316" s="28"/>
      <c r="AJ316" s="8"/>
      <c r="AR316" s="8"/>
      <c r="AT316" s="28"/>
      <c r="BL316" s="28"/>
    </row>
  </sheetData>
  <sheetProtection/>
  <autoFilter ref="A1:BO301">
    <sortState ref="A2:BO316">
      <sortCondition sortBy="value" ref="E2:E316"/>
    </sortState>
  </autoFilter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Stephanie A. Ramos</cp:lastModifiedBy>
  <dcterms:created xsi:type="dcterms:W3CDTF">2020-10-20T22:29:47Z</dcterms:created>
  <dcterms:modified xsi:type="dcterms:W3CDTF">2023-12-28T06:51:42Z</dcterms:modified>
  <cp:category/>
  <cp:version/>
  <cp:contentType/>
  <cp:contentStatus/>
</cp:coreProperties>
</file>